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mc:AlternateContent xmlns:mc="http://schemas.openxmlformats.org/markup-compatibility/2006">
    <mc:Choice Requires="x15">
      <x15ac:absPath xmlns:x15ac="http://schemas.microsoft.com/office/spreadsheetml/2010/11/ac" url="C:\Users\pemontero\OneDrive - Contraloria General de la Republica Dominicana\Documentos\Quejas y sugerencias\"/>
    </mc:Choice>
  </mc:AlternateContent>
  <xr:revisionPtr revIDLastSave="0" documentId="13_ncr:1_{78C8F5C8-860D-4E91-BCA7-9AB85A333352}" xr6:coauthVersionLast="47" xr6:coauthVersionMax="47" xr10:uidLastSave="{00000000-0000-0000-0000-000000000000}"/>
  <workbookProtection workbookAlgorithmName="SHA-512" workbookHashValue="tzKRduDnAw8Qa0cOZj4FGBl87ayWpKE71bk9o4NfoEhB3cMYuDdmydzomLNVWN1u0igeiad9aHi3UE5YIAqokw==" workbookSaltValue="dMdsKLvUicD7d9rvHnjIDg==" workbookSpinCount="100000" lockStructure="1"/>
  <bookViews>
    <workbookView xWindow="28680" yWindow="-120" windowWidth="29040" windowHeight="15720" tabRatio="603" firstSheet="9" activeTab="9" xr2:uid="{00000000-000D-0000-FFFF-FFFF00000000}"/>
  </bookViews>
  <sheets>
    <sheet name="Seguimiento (Viejo) " sheetId="1" state="hidden" r:id="rId1"/>
    <sheet name="Acciones de Mejoras (Viejo)" sheetId="2" state="hidden" r:id="rId2"/>
    <sheet name="Hoja1" sheetId="13" state="hidden" r:id="rId3"/>
    <sheet name="Seguimiento" sheetId="4" state="hidden" r:id="rId4"/>
    <sheet name="Acciones de Mejoras" sheetId="5" state="hidden" r:id="rId5"/>
    <sheet name="Resumen Trimestral" sheetId="8" state="hidden" r:id="rId6"/>
    <sheet name="Reporte Interno" sheetId="9" state="hidden" r:id="rId7"/>
    <sheet name="Reporte dinámico" sheetId="11" state="hidden" r:id="rId8"/>
    <sheet name="Casos Abiertos" sheetId="6" state="hidden" r:id="rId9"/>
    <sheet name="Tablero Dinámico" sheetId="12" r:id="rId10"/>
    <sheet name="Hoja3" sheetId="3" state="hidden" r:id="rId11"/>
  </sheets>
  <externalReferences>
    <externalReference r:id="rId12"/>
  </externalReferences>
  <definedNames>
    <definedName name="_xlnm._FilterDatabase" localSheetId="1" hidden="1">'Acciones de Mejoras (Viejo)'!$B$9:$N$39</definedName>
    <definedName name="_xlnm._FilterDatabase" localSheetId="0" hidden="1">'Seguimiento (Viejo) '!$A$9:$Q$83</definedName>
    <definedName name="_xlcn.WorksheetConnection_FormatoMatrizRQYSv1.xlsb.xlsxTabla11" hidden="1">Tabla1[]</definedName>
    <definedName name="_xlcn.WorksheetConnection_FormatoMatrizRQYSv1.xlsb.xlsxTabla31" hidden="1">Tabla3[]</definedName>
    <definedName name="SegmentaciónDeDatos_Área_Responsable">#N/A</definedName>
    <definedName name="SegmentaciónDeDatos_Cliente">#N/A</definedName>
    <definedName name="SegmentaciónDeDatos_Estatus">#N/A</definedName>
    <definedName name="SegmentaciónDeDatos_Procedencia">#N/A</definedName>
    <definedName name="SegmentaciónDeDatos_Trimestre">#N/A</definedName>
  </definedNames>
  <calcPr calcId="191029"/>
  <pivotCaches>
    <pivotCache cacheId="0" r:id="rId13"/>
    <pivotCache cacheId="1" r:id="rId14"/>
    <pivotCache cacheId="2" r:id="rId15"/>
    <pivotCache cacheId="142" r:id="rId16"/>
    <pivotCache cacheId="145" r:id="rId17"/>
    <pivotCache cacheId="148" r:id="rId18"/>
    <pivotCache cacheId="151" r:id="rId19"/>
  </pivotCaches>
  <extLst>
    <ext xmlns:x14="http://schemas.microsoft.com/office/spreadsheetml/2009/9/main" uri="{876F7934-8845-4945-9796-88D515C7AA90}">
      <x14:pivotCaches>
        <pivotCache cacheId="7" r:id="rId20"/>
      </x14:pivotCaches>
    </ext>
    <ext xmlns:x14="http://schemas.microsoft.com/office/spreadsheetml/2009/9/main" uri="{BBE1A952-AA13-448e-AADC-164F8A28A991}">
      <x14:slicerCaches>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3" name="Tabla3" connection="WorksheetConnection_Formato Matriz R Q Y S v1.xlsb.xlsx!Tabla3"/>
          <x15:modelTable id="Tabla1" name="Tabla1" connection="WorksheetConnection_Formato Matriz R Q Y S v1.xlsb.xlsx!Tabla1"/>
        </x15:modelTables>
        <x15:modelRelationships>
          <x15:modelRelationship fromTable="Tabla1" fromColumn="No." toTable="Tabla3" toColumn="No."/>
        </x15:modelRelationships>
        <x15:extLst>
          <ext xmlns:x16="http://schemas.microsoft.com/office/spreadsheetml/2014/11/main" uri="{9835A34E-60A6-4A7C-AAB8-D5F71C897F49}">
            <x16:modelTimeGroupings>
              <x16:modelTimeGrouping tableName="Tabla1" columnName="Fecha de  Registro" columnId="Fecha de  Registro">
                <x16:calculatedTimeColumn columnName="Fecha de  Registro (año)" columnId="Fecha de  Registro (año)" contentType="years" isSelected="1"/>
                <x16:calculatedTimeColumn columnName="Fecha de  Registro (trimestre)" columnId="Fecha de  Registro (trimestre)" contentType="quarters" isSelected="1"/>
                <x16:calculatedTimeColumn columnName="Fecha de  Registro (índice de meses)" columnId="Fecha de  Registro (índice de meses)" contentType="monthsindex" isSelected="1"/>
                <x16:calculatedTimeColumn columnName="Fecha de  Registro (mes)" columnId="Fecha de  Registro (mes)"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G4" i="6" s="1"/>
  <c r="H4" i="6" s="1"/>
  <c r="O10" i="5"/>
  <c r="B108" i="5"/>
  <c r="O108" i="5"/>
  <c r="P108" i="5"/>
  <c r="Q108" i="5" s="1" a="1"/>
  <c r="Q108" i="5" s="1"/>
  <c r="B109" i="5"/>
  <c r="O109" i="5"/>
  <c r="P109" i="5"/>
  <c r="Q109" i="5" s="1" a="1"/>
  <c r="Q109" i="5" s="1"/>
  <c r="B110" i="5"/>
  <c r="O110" i="5"/>
  <c r="P110" i="5"/>
  <c r="Q110" i="5" s="1" a="1"/>
  <c r="Q110" i="5" s="1"/>
  <c r="A110" i="4"/>
  <c r="E110" i="4" a="1"/>
  <c r="E110" i="4" s="1"/>
  <c r="F110" i="4"/>
  <c r="M110" i="4"/>
  <c r="N110" i="4" s="1"/>
  <c r="A108" i="4"/>
  <c r="A109" i="4"/>
  <c r="E108" i="4" a="1"/>
  <c r="E108" i="4" s="1"/>
  <c r="F108" i="4"/>
  <c r="M108" i="4"/>
  <c r="N108" i="4" s="1"/>
  <c r="E109" i="4" a="1"/>
  <c r="E109" i="4" s="1"/>
  <c r="F109" i="4"/>
  <c r="M109" i="4"/>
  <c r="N109" i="4" s="1"/>
  <c r="B107" i="5"/>
  <c r="O107" i="5"/>
  <c r="P107" i="5"/>
  <c r="Q107" i="5" s="1" a="1"/>
  <c r="Q107" i="5" s="1"/>
  <c r="O106" i="5"/>
  <c r="P106" i="5"/>
  <c r="Q106" i="5" s="1" a="1"/>
  <c r="Q106" i="5" s="1"/>
  <c r="B106" i="5"/>
  <c r="M103" i="4"/>
  <c r="N103" i="4" s="1"/>
  <c r="M104" i="4"/>
  <c r="N104" i="4" s="1"/>
  <c r="M105" i="4"/>
  <c r="N105" i="4" s="1"/>
  <c r="M106" i="4"/>
  <c r="N106" i="4" s="1"/>
  <c r="M107" i="4"/>
  <c r="N107" i="4" s="1"/>
  <c r="E106" i="4" a="1"/>
  <c r="E106" i="4" s="1"/>
  <c r="E107" i="4" a="1"/>
  <c r="E107" i="4" s="1"/>
  <c r="F106" i="4"/>
  <c r="F107" i="4"/>
  <c r="A106" i="4"/>
  <c r="A107" i="4"/>
  <c r="O105" i="5"/>
  <c r="P105" i="5"/>
  <c r="Q105" i="5" s="1" a="1"/>
  <c r="Q105" i="5" s="1"/>
  <c r="B105" i="5"/>
  <c r="A105" i="4"/>
  <c r="E105" i="4" a="1"/>
  <c r="E105" i="4" s="1"/>
  <c r="F105" i="4"/>
  <c r="P103" i="5"/>
  <c r="Q103" i="5" s="1" a="1"/>
  <c r="Q103" i="5" s="1"/>
  <c r="B103" i="5"/>
  <c r="O103" i="5"/>
  <c r="M102" i="4"/>
  <c r="N102" i="4" s="1"/>
  <c r="A102" i="4"/>
  <c r="E102" i="4" a="1"/>
  <c r="E102" i="4" s="1"/>
  <c r="F102" i="4"/>
  <c r="B104" i="5"/>
  <c r="O104" i="5"/>
  <c r="P104" i="5"/>
  <c r="Q104" i="5" s="1" a="1"/>
  <c r="Q104" i="5" s="1"/>
  <c r="A104" i="4"/>
  <c r="E104" i="4" a="1"/>
  <c r="E104" i="4" s="1"/>
  <c r="F104" i="4"/>
  <c r="B102" i="5"/>
  <c r="O102" i="5"/>
  <c r="P102" i="5"/>
  <c r="Q102" i="5" s="1" a="1"/>
  <c r="Q102" i="5" s="1"/>
  <c r="A103" i="4"/>
  <c r="E103" i="4" a="1"/>
  <c r="E103" i="4" s="1"/>
  <c r="F103" i="4"/>
  <c r="O100" i="5"/>
  <c r="P100" i="5"/>
  <c r="Q100" i="5" s="1" a="1"/>
  <c r="Q100" i="5" s="1"/>
  <c r="B100" i="5"/>
  <c r="O101" i="5"/>
  <c r="A101" i="4" l="1"/>
  <c r="E101" i="4" a="1"/>
  <c r="E101" i="4" s="1"/>
  <c r="F101" i="4"/>
  <c r="N101" i="4"/>
  <c r="B101" i="5"/>
  <c r="P101" i="5"/>
  <c r="Q101" i="5" s="1" a="1"/>
  <c r="Q101" i="5" s="1"/>
  <c r="B99" i="5"/>
  <c r="O99" i="5"/>
  <c r="P99" i="5"/>
  <c r="Q99" i="5" s="1" a="1"/>
  <c r="Q99" i="5" s="1"/>
  <c r="A99" i="4"/>
  <c r="E99" i="4" a="1"/>
  <c r="E99" i="4" s="1"/>
  <c r="F99" i="4"/>
  <c r="N99" i="4"/>
  <c r="A100" i="4"/>
  <c r="E100" i="4" a="1"/>
  <c r="E100" i="4" s="1"/>
  <c r="F100" i="4"/>
  <c r="N100" i="4"/>
  <c r="B96" i="5"/>
  <c r="O96" i="5"/>
  <c r="P96" i="5"/>
  <c r="Q96" i="5" s="1" a="1"/>
  <c r="Q96" i="5" s="1"/>
  <c r="B97" i="5"/>
  <c r="O97" i="5"/>
  <c r="P97" i="5"/>
  <c r="Q97" i="5" s="1" a="1"/>
  <c r="Q97" i="5" s="1"/>
  <c r="B98" i="5"/>
  <c r="O98" i="5"/>
  <c r="P98" i="5"/>
  <c r="Q98" i="5" s="1" a="1"/>
  <c r="Q98" i="5" s="1"/>
  <c r="N96" i="4"/>
  <c r="N97" i="4"/>
  <c r="N98" i="4"/>
  <c r="E96" i="4" a="1"/>
  <c r="E96" i="4" s="1"/>
  <c r="E97" i="4" a="1"/>
  <c r="E97" i="4" s="1"/>
  <c r="E98" i="4" a="1"/>
  <c r="E98" i="4" s="1"/>
  <c r="F96" i="4"/>
  <c r="F97" i="4"/>
  <c r="F98" i="4"/>
  <c r="A96" i="4"/>
  <c r="A97" i="4"/>
  <c r="A98" i="4"/>
  <c r="B95" i="5"/>
  <c r="O95" i="5"/>
  <c r="P95" i="5"/>
  <c r="Q95" i="5" s="1" a="1"/>
  <c r="Q95" i="5" s="1"/>
  <c r="B93" i="5"/>
  <c r="O93" i="5"/>
  <c r="P93" i="5"/>
  <c r="Q93" i="5" s="1" a="1"/>
  <c r="Q93" i="5" s="1"/>
  <c r="B94" i="5"/>
  <c r="O94" i="5"/>
  <c r="P94" i="5"/>
  <c r="Q94" i="5" s="1" a="1"/>
  <c r="Q94" i="5" s="1"/>
  <c r="N94" i="4"/>
  <c r="E94" i="4" a="1"/>
  <c r="E94" i="4" s="1"/>
  <c r="F94" i="4"/>
  <c r="A94" i="4"/>
  <c r="N93" i="4"/>
  <c r="A93" i="4"/>
  <c r="E93" i="4" a="1"/>
  <c r="E93" i="4" s="1"/>
  <c r="F93" i="4"/>
  <c r="N95" i="4"/>
  <c r="E95" i="4" a="1"/>
  <c r="E95" i="4" s="1"/>
  <c r="F95" i="4"/>
  <c r="A95" i="4"/>
  <c r="E92" i="4" a="1"/>
  <c r="E92" i="4" s="1"/>
  <c r="F92" i="4"/>
  <c r="A92" i="4"/>
  <c r="B92" i="5"/>
  <c r="O92" i="5"/>
  <c r="P92" i="5"/>
  <c r="Q92" i="5" s="1" a="1"/>
  <c r="Q92" i="5" s="1"/>
  <c r="B91" i="5"/>
  <c r="N92" i="4"/>
  <c r="A91" i="4"/>
  <c r="O91" i="5"/>
  <c r="P91" i="5"/>
  <c r="Q91" i="5" s="1" a="1"/>
  <c r="Q91" i="5" s="1"/>
  <c r="B90" i="5"/>
  <c r="O90" i="5"/>
  <c r="P90" i="5"/>
  <c r="Q90" i="5" s="1" a="1"/>
  <c r="Q90" i="5" s="1"/>
  <c r="B89" i="5"/>
  <c r="O89" i="5"/>
  <c r="P89" i="5"/>
  <c r="Q89" i="5" s="1" a="1"/>
  <c r="Q89" i="5" s="1"/>
  <c r="N91" i="4"/>
  <c r="E91" i="4" a="1"/>
  <c r="E91" i="4" s="1"/>
  <c r="F91" i="4"/>
  <c r="N89" i="4"/>
  <c r="A89" i="4"/>
  <c r="E89" i="4" a="1"/>
  <c r="E89" i="4" s="1"/>
  <c r="F89" i="4"/>
  <c r="M90" i="4"/>
  <c r="N90" i="4" s="1"/>
  <c r="A90" i="4"/>
  <c r="E90" i="4" a="1"/>
  <c r="E90" i="4" s="1"/>
  <c r="F90" i="4"/>
  <c r="P11" i="5"/>
  <c r="Q11" i="5" s="1" a="1"/>
  <c r="Q11" i="5" s="1"/>
  <c r="P12" i="5"/>
  <c r="P13" i="5"/>
  <c r="Q13" i="5" s="1" a="1"/>
  <c r="Q13" i="5" s="1"/>
  <c r="P14" i="5"/>
  <c r="P15" i="5"/>
  <c r="P16" i="5"/>
  <c r="P17" i="5"/>
  <c r="P18" i="5"/>
  <c r="P19" i="5"/>
  <c r="P20" i="5"/>
  <c r="P21" i="5"/>
  <c r="P22" i="5"/>
  <c r="P23" i="5"/>
  <c r="Q23" i="5" s="1" a="1"/>
  <c r="Q23" i="5" s="1"/>
  <c r="P24" i="5"/>
  <c r="P25" i="5"/>
  <c r="P26" i="5"/>
  <c r="P27" i="5"/>
  <c r="P28" i="5"/>
  <c r="P29" i="5"/>
  <c r="P30" i="5"/>
  <c r="P31" i="5"/>
  <c r="P32" i="5"/>
  <c r="P33" i="5"/>
  <c r="P34" i="5"/>
  <c r="P35" i="5"/>
  <c r="P36" i="5"/>
  <c r="P37" i="5"/>
  <c r="P38" i="5"/>
  <c r="P39" i="5"/>
  <c r="P40" i="5"/>
  <c r="P41" i="5"/>
  <c r="P42" i="5"/>
  <c r="P43" i="5"/>
  <c r="P44" i="5"/>
  <c r="P45" i="5"/>
  <c r="P46" i="5"/>
  <c r="P47" i="5"/>
  <c r="P48" i="5"/>
  <c r="P49" i="5"/>
  <c r="Q49" i="5" s="1" a="1"/>
  <c r="Q49" i="5" s="1"/>
  <c r="P50" i="5"/>
  <c r="P51" i="5"/>
  <c r="P52" i="5"/>
  <c r="P53" i="5"/>
  <c r="P54" i="5"/>
  <c r="P55" i="5"/>
  <c r="P56" i="5"/>
  <c r="P57" i="5"/>
  <c r="P58" i="5"/>
  <c r="P59" i="5"/>
  <c r="Q59" i="5" s="1" a="1"/>
  <c r="Q59" i="5" s="1"/>
  <c r="P60" i="5"/>
  <c r="P61" i="5"/>
  <c r="P62" i="5"/>
  <c r="P63" i="5"/>
  <c r="P64" i="5"/>
  <c r="P65" i="5"/>
  <c r="P66" i="5"/>
  <c r="Q66" i="5" s="1" a="1"/>
  <c r="Q66" i="5" s="1"/>
  <c r="P67" i="5"/>
  <c r="P68" i="5"/>
  <c r="P69" i="5"/>
  <c r="P70" i="5"/>
  <c r="P71" i="5"/>
  <c r="P72" i="5"/>
  <c r="P73" i="5"/>
  <c r="P74" i="5"/>
  <c r="P75" i="5"/>
  <c r="P76" i="5"/>
  <c r="P77" i="5"/>
  <c r="P78" i="5"/>
  <c r="P79" i="5"/>
  <c r="P80" i="5"/>
  <c r="Q80" i="5" s="1" a="1"/>
  <c r="Q80" i="5" s="1"/>
  <c r="P81" i="5"/>
  <c r="Q81" i="5" s="1" a="1"/>
  <c r="Q81" i="5" s="1"/>
  <c r="P82" i="5"/>
  <c r="P83" i="5"/>
  <c r="P84" i="5"/>
  <c r="P85" i="5"/>
  <c r="P86" i="5"/>
  <c r="P87" i="5"/>
  <c r="P88" i="5"/>
  <c r="O88" i="5"/>
  <c r="E88" i="4" a="1"/>
  <c r="E88" i="4" s="1"/>
  <c r="E10" i="4" a="1"/>
  <c r="E10" i="4" s="1"/>
  <c r="E11" i="4" a="1"/>
  <c r="E11" i="4" s="1"/>
  <c r="E12" i="4" a="1"/>
  <c r="E12" i="4" s="1"/>
  <c r="E13" i="4" a="1"/>
  <c r="E13" i="4" s="1"/>
  <c r="E14" i="4" a="1"/>
  <c r="E14" i="4" s="1"/>
  <c r="E15" i="4" a="1"/>
  <c r="E15" i="4" s="1"/>
  <c r="E16" i="4" a="1"/>
  <c r="E16" i="4" s="1"/>
  <c r="E17" i="4" a="1"/>
  <c r="E17" i="4" s="1"/>
  <c r="E18" i="4" a="1"/>
  <c r="E18" i="4" s="1"/>
  <c r="E19" i="4" a="1"/>
  <c r="E19" i="4" s="1"/>
  <c r="E20" i="4" a="1"/>
  <c r="E20" i="4" s="1"/>
  <c r="E21" i="4" a="1"/>
  <c r="E21" i="4" s="1"/>
  <c r="E22" i="4" a="1"/>
  <c r="E22" i="4" s="1"/>
  <c r="E23" i="4" a="1"/>
  <c r="E23" i="4" s="1"/>
  <c r="E24" i="4" a="1"/>
  <c r="E24" i="4" s="1"/>
  <c r="E25" i="4" a="1"/>
  <c r="E25" i="4" s="1"/>
  <c r="E26" i="4" a="1"/>
  <c r="E26" i="4" s="1"/>
  <c r="E27" i="4" a="1"/>
  <c r="E27" i="4" s="1"/>
  <c r="E28" i="4" a="1"/>
  <c r="E28" i="4" s="1"/>
  <c r="E29" i="4" a="1"/>
  <c r="E29" i="4" s="1"/>
  <c r="E30" i="4" a="1"/>
  <c r="E30" i="4" s="1"/>
  <c r="E31" i="4" a="1"/>
  <c r="E31" i="4" s="1"/>
  <c r="E32" i="4" a="1"/>
  <c r="E32" i="4" s="1"/>
  <c r="E33" i="4" a="1"/>
  <c r="E33" i="4" s="1"/>
  <c r="E34" i="4" a="1"/>
  <c r="E34" i="4" s="1"/>
  <c r="E35" i="4" a="1"/>
  <c r="E35" i="4" s="1"/>
  <c r="E36" i="4" a="1"/>
  <c r="E36" i="4" s="1"/>
  <c r="E37" i="4" a="1"/>
  <c r="E37" i="4" s="1"/>
  <c r="E38" i="4" a="1"/>
  <c r="E38" i="4" s="1"/>
  <c r="E39" i="4" a="1"/>
  <c r="E39" i="4" s="1"/>
  <c r="E40" i="4" a="1"/>
  <c r="E40" i="4" s="1"/>
  <c r="E41" i="4" a="1"/>
  <c r="E41" i="4" s="1"/>
  <c r="E42" i="4" a="1"/>
  <c r="E42" i="4" s="1"/>
  <c r="E43" i="4" a="1"/>
  <c r="E43" i="4" s="1"/>
  <c r="E44" i="4" a="1"/>
  <c r="E44" i="4" s="1"/>
  <c r="E45" i="4" a="1"/>
  <c r="E45" i="4" s="1"/>
  <c r="E46" i="4" a="1"/>
  <c r="E46" i="4" s="1"/>
  <c r="E47" i="4" a="1"/>
  <c r="E47" i="4" s="1"/>
  <c r="E48" i="4" a="1"/>
  <c r="E48" i="4" s="1"/>
  <c r="E49" i="4" a="1"/>
  <c r="E49" i="4" s="1"/>
  <c r="E50" i="4" a="1"/>
  <c r="E50" i="4" s="1"/>
  <c r="E51" i="4" a="1"/>
  <c r="E51" i="4" s="1"/>
  <c r="E52" i="4" a="1"/>
  <c r="E52" i="4" s="1"/>
  <c r="E53" i="4" a="1"/>
  <c r="E53" i="4" s="1"/>
  <c r="E54" i="4" a="1"/>
  <c r="E54" i="4" s="1"/>
  <c r="E55" i="4" a="1"/>
  <c r="E55" i="4" s="1"/>
  <c r="E56" i="4" a="1"/>
  <c r="E56" i="4" s="1"/>
  <c r="E57" i="4" a="1"/>
  <c r="E57" i="4" s="1"/>
  <c r="E58" i="4" a="1"/>
  <c r="E58" i="4" s="1"/>
  <c r="E59" i="4" a="1"/>
  <c r="E59" i="4" s="1"/>
  <c r="E60" i="4" a="1"/>
  <c r="E60" i="4" s="1"/>
  <c r="E61" i="4" a="1"/>
  <c r="E61" i="4" s="1"/>
  <c r="E62" i="4" a="1"/>
  <c r="E62" i="4" s="1"/>
  <c r="E63" i="4" a="1"/>
  <c r="E63" i="4" s="1"/>
  <c r="E64" i="4" a="1"/>
  <c r="E64" i="4" s="1"/>
  <c r="E65" i="4" a="1"/>
  <c r="E65" i="4" s="1"/>
  <c r="E66" i="4" a="1"/>
  <c r="E66" i="4" s="1"/>
  <c r="E67" i="4" a="1"/>
  <c r="E67" i="4" s="1"/>
  <c r="E68" i="4" a="1"/>
  <c r="E68" i="4" s="1"/>
  <c r="E69" i="4" a="1"/>
  <c r="E69" i="4" s="1"/>
  <c r="E70" i="4" a="1"/>
  <c r="E70" i="4" s="1"/>
  <c r="E71" i="4" a="1"/>
  <c r="E71" i="4" s="1"/>
  <c r="E72" i="4" a="1"/>
  <c r="E72" i="4" s="1"/>
  <c r="E73" i="4" a="1"/>
  <c r="E73" i="4" s="1"/>
  <c r="E74" i="4" a="1"/>
  <c r="E74" i="4" s="1"/>
  <c r="E75" i="4" a="1"/>
  <c r="E75" i="4" s="1"/>
  <c r="E76" i="4" a="1"/>
  <c r="E76" i="4" s="1"/>
  <c r="E77" i="4" a="1"/>
  <c r="E77" i="4" s="1"/>
  <c r="E78" i="4" a="1"/>
  <c r="E78" i="4" s="1"/>
  <c r="E79" i="4" a="1"/>
  <c r="E79" i="4" s="1"/>
  <c r="E80" i="4" a="1"/>
  <c r="E80" i="4" s="1"/>
  <c r="E81" i="4" a="1"/>
  <c r="E81" i="4" s="1"/>
  <c r="E82" i="4" a="1"/>
  <c r="E82" i="4" s="1"/>
  <c r="E83" i="4" a="1"/>
  <c r="E83" i="4" s="1"/>
  <c r="E84" i="4" a="1"/>
  <c r="E84" i="4" s="1"/>
  <c r="E85" i="4" a="1"/>
  <c r="E85" i="4" s="1"/>
  <c r="E86" i="4" a="1"/>
  <c r="E86" i="4" s="1"/>
  <c r="E87" i="4" a="1"/>
  <c r="E87" i="4" s="1"/>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M88" i="4"/>
  <c r="N88" i="4" s="1"/>
  <c r="A88" i="4"/>
  <c r="C22" i="8"/>
  <c r="C23" i="8"/>
  <c r="B24" i="8"/>
  <c r="C24" i="8"/>
  <c r="D24" i="8"/>
  <c r="B19" i="8"/>
  <c r="B23" i="8"/>
  <c r="B22" i="8"/>
  <c r="B20" i="8"/>
  <c r="B21" i="8"/>
  <c r="D19" i="8"/>
  <c r="D20" i="8"/>
  <c r="D21" i="8"/>
  <c r="D22" i="8"/>
  <c r="D23" i="8"/>
  <c r="D18" i="8"/>
  <c r="C19" i="8"/>
  <c r="C20" i="8"/>
  <c r="C21" i="8"/>
  <c r="C18" i="8"/>
  <c r="B18" i="8"/>
  <c r="M81" i="4"/>
  <c r="N81" i="4" s="1"/>
  <c r="M80" i="4"/>
  <c r="N80" i="4" s="1"/>
  <c r="M59" i="4"/>
  <c r="N59" i="4" s="1"/>
  <c r="B59" i="5"/>
  <c r="O59" i="5"/>
  <c r="A59" i="4"/>
  <c r="B80" i="5"/>
  <c r="O80" i="5"/>
  <c r="A80" i="4"/>
  <c r="B81" i="5"/>
  <c r="O81" i="5"/>
  <c r="A81" i="4"/>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60" i="5"/>
  <c r="O61" i="5"/>
  <c r="O62" i="5"/>
  <c r="O63" i="5"/>
  <c r="O64" i="5"/>
  <c r="O65" i="5"/>
  <c r="O66" i="5"/>
  <c r="O67" i="5"/>
  <c r="O68" i="5"/>
  <c r="O69" i="5"/>
  <c r="O70" i="5"/>
  <c r="O71" i="5"/>
  <c r="O72" i="5"/>
  <c r="O73" i="5"/>
  <c r="O74" i="5"/>
  <c r="O75" i="5"/>
  <c r="O76" i="5"/>
  <c r="O77" i="5"/>
  <c r="O78" i="5"/>
  <c r="O79" i="5"/>
  <c r="O82" i="5"/>
  <c r="O83" i="5"/>
  <c r="O84" i="5"/>
  <c r="O85" i="5"/>
  <c r="O86" i="5"/>
  <c r="O87" i="5"/>
  <c r="O21" i="5"/>
  <c r="O22" i="5"/>
  <c r="O20" i="5"/>
  <c r="O12" i="5"/>
  <c r="O15" i="5"/>
  <c r="O16" i="5"/>
  <c r="O17" i="5"/>
  <c r="O18" i="5"/>
  <c r="O19" i="5"/>
  <c r="B10" i="9" l="1"/>
  <c r="B8" i="9"/>
  <c r="D9" i="9"/>
  <c r="B3" i="9"/>
  <c r="D10" i="9"/>
  <c r="D8" i="9"/>
  <c r="C8" i="9"/>
  <c r="B2" i="9"/>
  <c r="C9" i="9"/>
  <c r="B14" i="9"/>
  <c r="B9" i="9"/>
  <c r="B15" i="9"/>
  <c r="C10" i="9"/>
  <c r="D16" i="9"/>
  <c r="D14" i="9"/>
  <c r="C14" i="9"/>
  <c r="B16" i="9"/>
  <c r="B13" i="9"/>
  <c r="D19" i="9"/>
  <c r="B4" i="9"/>
  <c r="B20" i="9"/>
  <c r="C16" i="9"/>
  <c r="C15" i="9"/>
  <c r="D15" i="9"/>
  <c r="C13" i="9"/>
  <c r="C20" i="9"/>
  <c r="B19" i="9"/>
  <c r="C19" i="9"/>
  <c r="D20" i="9"/>
  <c r="D13" i="9"/>
  <c r="Q37" i="5" a="1"/>
  <c r="Q37" i="5" s="1"/>
  <c r="Q12" i="5" a="1"/>
  <c r="Q12" i="5" s="1"/>
  <c r="Q14" i="5" a="1"/>
  <c r="Q14" i="5" s="1"/>
  <c r="Q15" i="5" a="1"/>
  <c r="Q15" i="5" s="1"/>
  <c r="Q16" i="5" a="1"/>
  <c r="Q16" i="5" s="1"/>
  <c r="Q17" i="5" a="1"/>
  <c r="Q17" i="5" s="1"/>
  <c r="Q18" i="5" a="1"/>
  <c r="Q18" i="5" s="1"/>
  <c r="Q19" i="5" a="1"/>
  <c r="Q19" i="5" s="1"/>
  <c r="Q20" i="5" a="1"/>
  <c r="Q20" i="5" s="1"/>
  <c r="Q21" i="5" a="1"/>
  <c r="Q21" i="5" s="1"/>
  <c r="Q22" i="5" a="1"/>
  <c r="Q22" i="5" s="1"/>
  <c r="Q24" i="5" a="1"/>
  <c r="Q24" i="5" s="1"/>
  <c r="Q25" i="5" a="1"/>
  <c r="Q25" i="5" s="1"/>
  <c r="Q26" i="5" a="1"/>
  <c r="Q26" i="5" s="1"/>
  <c r="Q27" i="5" a="1"/>
  <c r="Q27" i="5" s="1"/>
  <c r="Q28" i="5" a="1"/>
  <c r="Q28" i="5" s="1"/>
  <c r="Q29" i="5" a="1"/>
  <c r="Q29" i="5" s="1"/>
  <c r="Q30" i="5" a="1"/>
  <c r="Q30" i="5" s="1"/>
  <c r="Q31" i="5" a="1"/>
  <c r="Q31" i="5" s="1"/>
  <c r="Q32" i="5" a="1"/>
  <c r="Q32" i="5" s="1"/>
  <c r="Q33" i="5" a="1"/>
  <c r="Q33" i="5" s="1"/>
  <c r="Q34" i="5" a="1"/>
  <c r="Q34" i="5" s="1"/>
  <c r="Q35" i="5" a="1"/>
  <c r="Q35" i="5" s="1"/>
  <c r="Q36" i="5" a="1"/>
  <c r="Q36" i="5" s="1"/>
  <c r="Q38" i="5" a="1"/>
  <c r="Q38" i="5" s="1"/>
  <c r="Q39" i="5" a="1"/>
  <c r="Q39" i="5" s="1"/>
  <c r="Q40" i="5" a="1"/>
  <c r="Q40" i="5" s="1"/>
  <c r="Q41" i="5" a="1"/>
  <c r="Q41" i="5" s="1"/>
  <c r="Q42" i="5" a="1"/>
  <c r="Q42" i="5" s="1"/>
  <c r="Q43" i="5" a="1"/>
  <c r="Q43" i="5" s="1"/>
  <c r="Q44" i="5" a="1"/>
  <c r="Q44" i="5" s="1"/>
  <c r="Q45" i="5" a="1"/>
  <c r="Q45" i="5" s="1"/>
  <c r="Q46" i="5" a="1"/>
  <c r="Q46" i="5" s="1"/>
  <c r="Q47" i="5" a="1"/>
  <c r="Q47" i="5" s="1"/>
  <c r="Q48" i="5" a="1"/>
  <c r="Q48" i="5" s="1"/>
  <c r="Q50" i="5" a="1"/>
  <c r="Q50" i="5" s="1"/>
  <c r="Q51" i="5" a="1"/>
  <c r="Q51" i="5" s="1"/>
  <c r="Q52" i="5" a="1"/>
  <c r="Q52" i="5" s="1"/>
  <c r="Q53" i="5" a="1"/>
  <c r="Q53" i="5" s="1"/>
  <c r="Q54" i="5" a="1"/>
  <c r="Q54" i="5" s="1"/>
  <c r="Q55" i="5" a="1"/>
  <c r="Q55" i="5" s="1"/>
  <c r="Q56" i="5" a="1"/>
  <c r="Q56" i="5" s="1"/>
  <c r="Q57" i="5" a="1"/>
  <c r="Q57" i="5" s="1"/>
  <c r="Q58" i="5" a="1"/>
  <c r="Q58" i="5" s="1"/>
  <c r="Q60" i="5" a="1"/>
  <c r="Q60" i="5" s="1"/>
  <c r="Q61" i="5" a="1"/>
  <c r="Q61" i="5" s="1"/>
  <c r="Q62" i="5" a="1"/>
  <c r="Q62" i="5" s="1"/>
  <c r="Q63" i="5" a="1"/>
  <c r="Q63" i="5" s="1"/>
  <c r="Q64" i="5" a="1"/>
  <c r="Q64" i="5" s="1"/>
  <c r="Q65" i="5" a="1"/>
  <c r="Q65" i="5" s="1"/>
  <c r="Q67" i="5" a="1"/>
  <c r="Q67" i="5" s="1"/>
  <c r="Q68" i="5" a="1"/>
  <c r="Q68" i="5" s="1"/>
  <c r="Q69" i="5" a="1"/>
  <c r="Q69" i="5" s="1"/>
  <c r="Q70" i="5" a="1"/>
  <c r="Q70" i="5" s="1"/>
  <c r="Q71" i="5" a="1"/>
  <c r="Q71" i="5" s="1"/>
  <c r="Q72" i="5" a="1"/>
  <c r="Q72" i="5" s="1"/>
  <c r="Q73" i="5" a="1"/>
  <c r="Q73" i="5" s="1"/>
  <c r="Q74" i="5" a="1"/>
  <c r="Q74" i="5" s="1"/>
  <c r="Q75" i="5" a="1"/>
  <c r="Q75" i="5" s="1"/>
  <c r="Q76" i="5" a="1"/>
  <c r="Q76" i="5" s="1"/>
  <c r="Q77" i="5" a="1"/>
  <c r="Q77" i="5" s="1"/>
  <c r="Q78" i="5" a="1"/>
  <c r="Q78" i="5" s="1"/>
  <c r="Q79" i="5" a="1"/>
  <c r="Q79" i="5" s="1"/>
  <c r="Q82" i="5" a="1"/>
  <c r="Q82" i="5" s="1"/>
  <c r="Q83" i="5" a="1"/>
  <c r="Q83" i="5" s="1"/>
  <c r="Q84" i="5" a="1"/>
  <c r="Q84" i="5" s="1"/>
  <c r="Q85" i="5" a="1"/>
  <c r="Q85" i="5" s="1"/>
  <c r="Q86" i="5" a="1"/>
  <c r="Q86" i="5" s="1"/>
  <c r="Q87" i="5" a="1"/>
  <c r="Q87" i="5" s="1"/>
  <c r="Q88" i="5" a="1"/>
  <c r="Q88" i="5" s="1"/>
  <c r="P10" i="5"/>
  <c r="Q10" i="5" s="1" a="1"/>
  <c r="Q10" i="5" s="1"/>
  <c r="M49" i="4"/>
  <c r="N49" i="4" s="1"/>
  <c r="M87" i="4"/>
  <c r="N87" i="4" s="1"/>
  <c r="A87" i="4"/>
  <c r="M36" i="4"/>
  <c r="N36" i="4" s="1"/>
  <c r="A36" i="4"/>
  <c r="M86" i="4"/>
  <c r="N86" i="4" s="1"/>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60" i="5"/>
  <c r="B61" i="5"/>
  <c r="B62" i="5"/>
  <c r="B63" i="5"/>
  <c r="B64" i="5"/>
  <c r="B65" i="5"/>
  <c r="B66" i="5"/>
  <c r="B67" i="5"/>
  <c r="B68" i="5"/>
  <c r="B69" i="5"/>
  <c r="B70" i="5"/>
  <c r="B71" i="5"/>
  <c r="B72" i="5"/>
  <c r="B73" i="5"/>
  <c r="B74" i="5"/>
  <c r="B75" i="5"/>
  <c r="B76" i="5"/>
  <c r="B77" i="5"/>
  <c r="B78" i="5"/>
  <c r="B79" i="5"/>
  <c r="B82" i="5"/>
  <c r="B83" i="5"/>
  <c r="B84" i="5"/>
  <c r="B85" i="5"/>
  <c r="B86" i="5"/>
  <c r="B87" i="5"/>
  <c r="B88" i="5"/>
  <c r="B10" i="5"/>
  <c r="A10" i="4"/>
  <c r="A11" i="4"/>
  <c r="A12" i="4"/>
  <c r="A13" i="4"/>
  <c r="A14" i="4"/>
  <c r="A15" i="4"/>
  <c r="A16" i="4"/>
  <c r="A17" i="4"/>
  <c r="A18" i="4"/>
  <c r="A19" i="4"/>
  <c r="A20" i="4"/>
  <c r="A21" i="4"/>
  <c r="A22" i="4"/>
  <c r="A23" i="4"/>
  <c r="A24" i="4"/>
  <c r="A25" i="4"/>
  <c r="A26" i="4"/>
  <c r="A27" i="4"/>
  <c r="A28" i="4"/>
  <c r="A29" i="4"/>
  <c r="A30" i="4"/>
  <c r="A31" i="4"/>
  <c r="A32" i="4"/>
  <c r="A33" i="4"/>
  <c r="A34" i="4"/>
  <c r="A35" i="4"/>
  <c r="A37" i="4"/>
  <c r="A38" i="4"/>
  <c r="A39" i="4"/>
  <c r="A40" i="4"/>
  <c r="A41" i="4"/>
  <c r="A42" i="4"/>
  <c r="A43" i="4"/>
  <c r="A44" i="4"/>
  <c r="A45" i="4"/>
  <c r="A46" i="4"/>
  <c r="A47" i="4"/>
  <c r="A48" i="4"/>
  <c r="A49" i="4"/>
  <c r="A50" i="4"/>
  <c r="A51" i="4"/>
  <c r="A52" i="4"/>
  <c r="A53" i="4"/>
  <c r="A54" i="4"/>
  <c r="A55" i="4"/>
  <c r="A56" i="4"/>
  <c r="A57" i="4"/>
  <c r="A58" i="4"/>
  <c r="A60" i="4"/>
  <c r="A61" i="4"/>
  <c r="A62" i="4"/>
  <c r="A63" i="4"/>
  <c r="A64" i="4"/>
  <c r="A65" i="4"/>
  <c r="A66" i="4"/>
  <c r="A67" i="4"/>
  <c r="A68" i="4"/>
  <c r="A69" i="4"/>
  <c r="A70" i="4"/>
  <c r="A71" i="4"/>
  <c r="A72" i="4"/>
  <c r="A73" i="4"/>
  <c r="A74" i="4"/>
  <c r="A75" i="4"/>
  <c r="A76" i="4"/>
  <c r="A77" i="4"/>
  <c r="A78" i="4"/>
  <c r="A79" i="4"/>
  <c r="A82" i="4"/>
  <c r="A83" i="4"/>
  <c r="A84" i="4"/>
  <c r="A85" i="4"/>
  <c r="A86" i="4"/>
  <c r="M85" i="4"/>
  <c r="N85" i="4" s="1"/>
  <c r="M84" i="4"/>
  <c r="N84" i="4" s="1"/>
  <c r="M83" i="4"/>
  <c r="N83" i="4" s="1"/>
  <c r="M82" i="4"/>
  <c r="N82" i="4" s="1"/>
  <c r="M79" i="4"/>
  <c r="N79" i="4" s="1"/>
  <c r="M78" i="4"/>
  <c r="N78" i="4" s="1"/>
  <c r="M77" i="4"/>
  <c r="N77" i="4" s="1"/>
  <c r="M76" i="4"/>
  <c r="N76" i="4" s="1"/>
  <c r="M75" i="4"/>
  <c r="N75" i="4" s="1"/>
  <c r="M74" i="4"/>
  <c r="N74" i="4" s="1"/>
  <c r="M73" i="4"/>
  <c r="N73" i="4" s="1"/>
  <c r="M72" i="4"/>
  <c r="N72" i="4" s="1"/>
  <c r="M71" i="4"/>
  <c r="N71" i="4" s="1"/>
  <c r="M70" i="4"/>
  <c r="N70" i="4" s="1"/>
  <c r="M69" i="4"/>
  <c r="N69" i="4" s="1"/>
  <c r="M68" i="4"/>
  <c r="N68" i="4" s="1"/>
  <c r="M67" i="4"/>
  <c r="N67" i="4" s="1"/>
  <c r="M66" i="4"/>
  <c r="N66" i="4" s="1"/>
  <c r="M65" i="4"/>
  <c r="N65" i="4" s="1"/>
  <c r="M64" i="4"/>
  <c r="N64" i="4" s="1"/>
  <c r="M63" i="4"/>
  <c r="N63" i="4" s="1"/>
  <c r="M62" i="4"/>
  <c r="N62" i="4" s="1"/>
  <c r="M61" i="4"/>
  <c r="N61" i="4" s="1"/>
  <c r="M60" i="4"/>
  <c r="N60" i="4" s="1"/>
  <c r="M58" i="4"/>
  <c r="N58" i="4" s="1"/>
  <c r="M57" i="4"/>
  <c r="N57" i="4" s="1"/>
  <c r="M56" i="4"/>
  <c r="N56" i="4" s="1"/>
  <c r="M55" i="4"/>
  <c r="N55" i="4" s="1"/>
  <c r="M54" i="4"/>
  <c r="N54" i="4" s="1"/>
  <c r="M53" i="4"/>
  <c r="N53" i="4" s="1"/>
  <c r="M52" i="4"/>
  <c r="N52" i="4" s="1"/>
  <c r="M51" i="4"/>
  <c r="N51" i="4" s="1"/>
  <c r="M50" i="4"/>
  <c r="N50" i="4" s="1"/>
  <c r="M48" i="4"/>
  <c r="N48" i="4" s="1"/>
  <c r="M47" i="4"/>
  <c r="N47" i="4" s="1"/>
  <c r="M46" i="4"/>
  <c r="N46" i="4" s="1"/>
  <c r="M45" i="4"/>
  <c r="N45" i="4" s="1"/>
  <c r="M44" i="4"/>
  <c r="N44" i="4" s="1"/>
  <c r="M43" i="4"/>
  <c r="N43" i="4" s="1"/>
  <c r="M42" i="4"/>
  <c r="N42" i="4" s="1"/>
  <c r="M41" i="4"/>
  <c r="N41" i="4" s="1"/>
  <c r="M40" i="4"/>
  <c r="N40" i="4" s="1"/>
  <c r="M39" i="4"/>
  <c r="N39" i="4" s="1"/>
  <c r="M38" i="4"/>
  <c r="N38" i="4" s="1"/>
  <c r="M37" i="4"/>
  <c r="N37" i="4" s="1"/>
  <c r="M35" i="4"/>
  <c r="N35" i="4" s="1"/>
  <c r="M34" i="4"/>
  <c r="N34" i="4" s="1"/>
  <c r="M33" i="4"/>
  <c r="N33" i="4" s="1"/>
  <c r="M32" i="4"/>
  <c r="N32" i="4" s="1"/>
  <c r="M31" i="4"/>
  <c r="N31" i="4" s="1"/>
  <c r="M30" i="4"/>
  <c r="N30" i="4" s="1"/>
  <c r="M29" i="4"/>
  <c r="N29" i="4" s="1"/>
  <c r="M28" i="4"/>
  <c r="N28" i="4" s="1"/>
  <c r="M27" i="4"/>
  <c r="N27" i="4" s="1"/>
  <c r="M26" i="4"/>
  <c r="N26" i="4" s="1"/>
  <c r="M25" i="4"/>
  <c r="N25" i="4" s="1"/>
  <c r="M24" i="4"/>
  <c r="N24" i="4" s="1"/>
  <c r="M23" i="4"/>
  <c r="N23" i="4" s="1"/>
  <c r="M22" i="4"/>
  <c r="N22" i="4" s="1"/>
  <c r="M21" i="4"/>
  <c r="N21" i="4" s="1"/>
  <c r="M20" i="4"/>
  <c r="N20" i="4" s="1"/>
  <c r="M19" i="4"/>
  <c r="N19" i="4" s="1"/>
  <c r="M18" i="4"/>
  <c r="N18" i="4" s="1"/>
  <c r="M17" i="4"/>
  <c r="N17" i="4" s="1"/>
  <c r="M16" i="4"/>
  <c r="N16" i="4" s="1"/>
  <c r="M15" i="4"/>
  <c r="N15" i="4" s="1"/>
  <c r="M14" i="4"/>
  <c r="N14" i="4" s="1"/>
  <c r="M13" i="4"/>
  <c r="N13" i="4" s="1"/>
  <c r="M12" i="4"/>
  <c r="N12" i="4" s="1"/>
  <c r="M11" i="4"/>
  <c r="N11" i="4" s="1"/>
  <c r="M10" i="4"/>
  <c r="N10" i="4" s="1"/>
  <c r="G76" i="2"/>
  <c r="K81" i="1"/>
  <c r="L81" i="1" s="1"/>
  <c r="G74" i="2" s="1"/>
  <c r="K82" i="1"/>
  <c r="L82" i="1" s="1"/>
  <c r="G75" i="2" s="1"/>
  <c r="A83" i="1"/>
  <c r="A82" i="1"/>
  <c r="K80" i="1"/>
  <c r="L80" i="1" s="1"/>
  <c r="K78" i="1"/>
  <c r="L78" i="1" s="1"/>
  <c r="K79" i="1"/>
  <c r="L79" i="1" s="1"/>
  <c r="K77" i="1"/>
  <c r="L77" i="1" s="1"/>
  <c r="K76" i="1"/>
  <c r="L76" i="1" s="1"/>
  <c r="A76" i="1"/>
  <c r="K75" i="1"/>
  <c r="L75" i="1" s="1"/>
  <c r="A77" i="1"/>
  <c r="A78" i="1"/>
  <c r="A79" i="1"/>
  <c r="A80" i="1"/>
  <c r="K74" i="1"/>
  <c r="L74" i="1" s="1"/>
  <c r="A74" i="1"/>
  <c r="K73" i="1"/>
  <c r="L73" i="1" s="1"/>
  <c r="A73" i="1"/>
  <c r="K72" i="1"/>
  <c r="L72" i="1" s="1"/>
  <c r="K71" i="1"/>
  <c r="L71" i="1" s="1"/>
  <c r="D71" i="2"/>
  <c r="K70" i="1"/>
  <c r="L70" i="1" s="1"/>
  <c r="K69" i="1"/>
  <c r="L69" i="1" s="1"/>
  <c r="K68" i="1"/>
  <c r="L68" i="1" s="1"/>
  <c r="K67" i="1"/>
  <c r="L67" i="1" s="1"/>
  <c r="K66" i="1"/>
  <c r="L66" i="1" s="1"/>
  <c r="K65" i="1"/>
  <c r="L65" i="1" s="1"/>
  <c r="K64" i="1"/>
  <c r="L64" i="1" s="1"/>
  <c r="K62" i="1"/>
  <c r="K63" i="1"/>
  <c r="L63" i="1" s="1"/>
  <c r="A8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5" i="1"/>
  <c r="A11" i="1"/>
  <c r="B60" i="2"/>
  <c r="C60" i="2"/>
  <c r="D60" i="2"/>
  <c r="B61" i="2"/>
  <c r="C61" i="2"/>
  <c r="D61" i="2"/>
  <c r="B62" i="2"/>
  <c r="C62" i="2"/>
  <c r="D62" i="2"/>
  <c r="B63" i="2"/>
  <c r="C63" i="2"/>
  <c r="D63" i="2"/>
  <c r="B64" i="2"/>
  <c r="C64" i="2"/>
  <c r="D64" i="2"/>
  <c r="B65" i="2"/>
  <c r="C65" i="2"/>
  <c r="D65" i="2"/>
  <c r="B66" i="2"/>
  <c r="C66" i="2"/>
  <c r="D66" i="2"/>
  <c r="B67" i="2"/>
  <c r="C67" i="2"/>
  <c r="D67" i="2"/>
  <c r="B68" i="2"/>
  <c r="C68" i="2"/>
  <c r="D68" i="2"/>
  <c r="B69" i="2"/>
  <c r="C69" i="2"/>
  <c r="D69" i="2"/>
  <c r="B70" i="2"/>
  <c r="C70" i="2"/>
  <c r="D70" i="2"/>
  <c r="B71" i="2"/>
  <c r="C71" i="2"/>
  <c r="B72" i="2"/>
  <c r="C72" i="2"/>
  <c r="D72" i="2"/>
  <c r="B73" i="2"/>
  <c r="C73" i="2"/>
  <c r="D73" i="2"/>
  <c r="B74" i="2"/>
  <c r="C74" i="2"/>
  <c r="D74" i="2"/>
  <c r="B75" i="2"/>
  <c r="C75" i="2"/>
  <c r="D75" i="2"/>
  <c r="B76" i="2"/>
  <c r="C76" i="2"/>
  <c r="D76" i="2"/>
  <c r="B77" i="2"/>
  <c r="C77" i="2"/>
  <c r="D77" i="2"/>
  <c r="G77" i="2"/>
  <c r="B78" i="2"/>
  <c r="C78" i="2"/>
  <c r="D78" i="2"/>
  <c r="G78" i="2"/>
  <c r="B79" i="2"/>
  <c r="C79" i="2"/>
  <c r="D79" i="2"/>
  <c r="G79" i="2"/>
  <c r="B80" i="2"/>
  <c r="C80" i="2"/>
  <c r="D80" i="2"/>
  <c r="G80" i="2"/>
  <c r="B81" i="2"/>
  <c r="C81" i="2"/>
  <c r="D81" i="2"/>
  <c r="G81" i="2"/>
  <c r="B82" i="2"/>
  <c r="C82" i="2"/>
  <c r="D82" i="2"/>
  <c r="G82" i="2"/>
  <c r="B83" i="2"/>
  <c r="C83" i="2"/>
  <c r="D83" i="2"/>
  <c r="G83" i="2"/>
  <c r="B84" i="2"/>
  <c r="C84" i="2"/>
  <c r="D84" i="2"/>
  <c r="G84" i="2"/>
  <c r="B85" i="2"/>
  <c r="C85" i="2"/>
  <c r="D85" i="2"/>
  <c r="G85" i="2"/>
  <c r="B86" i="2"/>
  <c r="C86" i="2"/>
  <c r="D86" i="2"/>
  <c r="G86" i="2"/>
  <c r="B87" i="2"/>
  <c r="C87" i="2"/>
  <c r="D87" i="2"/>
  <c r="G87" i="2"/>
  <c r="B88" i="2"/>
  <c r="C88" i="2"/>
  <c r="D88" i="2"/>
  <c r="G88" i="2"/>
  <c r="B89" i="2"/>
  <c r="C89" i="2"/>
  <c r="D89" i="2"/>
  <c r="G89" i="2"/>
  <c r="N55" i="2"/>
  <c r="N56" i="2"/>
  <c r="N57" i="2"/>
  <c r="N54" i="2"/>
  <c r="N53" i="2"/>
  <c r="N52" i="2"/>
  <c r="N51" i="2"/>
  <c r="B54" i="2"/>
  <c r="C54" i="2"/>
  <c r="D54" i="2"/>
  <c r="B55" i="2"/>
  <c r="C55" i="2"/>
  <c r="D55" i="2"/>
  <c r="B56" i="2"/>
  <c r="C56" i="2"/>
  <c r="D56" i="2"/>
  <c r="B57" i="2"/>
  <c r="C57" i="2"/>
  <c r="D57" i="2"/>
  <c r="B58" i="2"/>
  <c r="C58" i="2"/>
  <c r="D58" i="2"/>
  <c r="B59" i="2"/>
  <c r="C59" i="2"/>
  <c r="D59" i="2"/>
  <c r="K52" i="1"/>
  <c r="L52" i="1" s="1"/>
  <c r="N46" i="2"/>
  <c r="E40" i="2"/>
  <c r="N41" i="2"/>
  <c r="N42" i="2"/>
  <c r="N43" i="2"/>
  <c r="N44" i="2"/>
  <c r="N45" i="2"/>
  <c r="N47" i="2"/>
  <c r="N48" i="2"/>
  <c r="N49" i="2"/>
  <c r="N50" i="2"/>
  <c r="B45" i="2"/>
  <c r="C45" i="2"/>
  <c r="D45" i="2"/>
  <c r="B46" i="2"/>
  <c r="C46" i="2"/>
  <c r="D46" i="2"/>
  <c r="B47" i="2"/>
  <c r="C47" i="2"/>
  <c r="D47" i="2"/>
  <c r="B48" i="2"/>
  <c r="C48" i="2"/>
  <c r="D48" i="2"/>
  <c r="B49" i="2"/>
  <c r="C49" i="2"/>
  <c r="D49" i="2"/>
  <c r="B50" i="2"/>
  <c r="C50" i="2"/>
  <c r="D50" i="2"/>
  <c r="B51" i="2"/>
  <c r="C51" i="2"/>
  <c r="D51" i="2"/>
  <c r="B52" i="2"/>
  <c r="C52" i="2"/>
  <c r="D52" i="2"/>
  <c r="B53" i="2"/>
  <c r="C53" i="2"/>
  <c r="D53" i="2"/>
  <c r="B42" i="2"/>
  <c r="C42" i="2"/>
  <c r="D42" i="2"/>
  <c r="B43" i="2"/>
  <c r="C43" i="2"/>
  <c r="D43" i="2"/>
  <c r="B44" i="2"/>
  <c r="C44" i="2"/>
  <c r="D44" i="2"/>
  <c r="B41" i="2"/>
  <c r="C41" i="2"/>
  <c r="D41" i="2"/>
  <c r="B40" i="2"/>
  <c r="C40" i="2"/>
  <c r="D40" i="2"/>
  <c r="E41" i="2"/>
  <c r="N40" i="2"/>
  <c r="B36" i="2"/>
  <c r="B28" i="2"/>
  <c r="D30"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11" i="2"/>
  <c r="H92" i="5" l="1"/>
  <c r="H83" i="5"/>
  <c r="H73" i="5"/>
  <c r="H65" i="5"/>
  <c r="H56" i="5"/>
  <c r="H48" i="5"/>
  <c r="H40" i="5"/>
  <c r="H32" i="5"/>
  <c r="H24" i="5"/>
  <c r="H16" i="5"/>
  <c r="H96" i="5"/>
  <c r="H106" i="5"/>
  <c r="H107" i="5"/>
  <c r="H100" i="5"/>
  <c r="H103" i="5"/>
  <c r="H104" i="5"/>
  <c r="H105" i="5"/>
  <c r="H102" i="5"/>
  <c r="H108" i="5"/>
  <c r="F108" i="5"/>
  <c r="C110" i="5"/>
  <c r="G108" i="5"/>
  <c r="G109" i="5"/>
  <c r="E109" i="5"/>
  <c r="H110" i="5"/>
  <c r="E108" i="5"/>
  <c r="F110" i="5"/>
  <c r="C109" i="5"/>
  <c r="C108" i="5"/>
  <c r="D108" i="5"/>
  <c r="H109" i="5"/>
  <c r="E110" i="5"/>
  <c r="F109" i="5"/>
  <c r="D109" i="5"/>
  <c r="D110" i="5"/>
  <c r="G110" i="5"/>
  <c r="H82" i="5"/>
  <c r="H72" i="5"/>
  <c r="H64" i="5"/>
  <c r="H55" i="5"/>
  <c r="H47" i="5"/>
  <c r="H39" i="5"/>
  <c r="H31" i="5"/>
  <c r="H23" i="5"/>
  <c r="H15" i="5"/>
  <c r="H99" i="5"/>
  <c r="H93" i="5"/>
  <c r="H10" i="5"/>
  <c r="G10" i="5"/>
  <c r="H54" i="5"/>
  <c r="H30" i="5"/>
  <c r="H88" i="5"/>
  <c r="H45" i="5"/>
  <c r="H13" i="5"/>
  <c r="H87" i="5"/>
  <c r="H77" i="5"/>
  <c r="H69" i="5"/>
  <c r="H61" i="5"/>
  <c r="H52" i="5"/>
  <c r="H44" i="5"/>
  <c r="H36" i="5"/>
  <c r="H28" i="5"/>
  <c r="H20" i="5"/>
  <c r="H12" i="5"/>
  <c r="H90" i="5"/>
  <c r="H101" i="5"/>
  <c r="H79" i="5"/>
  <c r="H46" i="5"/>
  <c r="H22" i="5"/>
  <c r="H91" i="5"/>
  <c r="H70" i="5"/>
  <c r="H37" i="5"/>
  <c r="H89" i="5"/>
  <c r="H86" i="5"/>
  <c r="H76" i="5"/>
  <c r="H68" i="5"/>
  <c r="H60" i="5"/>
  <c r="H51" i="5"/>
  <c r="H43" i="5"/>
  <c r="H35" i="5"/>
  <c r="H27" i="5"/>
  <c r="H19" i="5"/>
  <c r="H11" i="5"/>
  <c r="H59" i="5"/>
  <c r="H97" i="5"/>
  <c r="H71" i="5"/>
  <c r="H38" i="5"/>
  <c r="H95" i="5"/>
  <c r="H78" i="5"/>
  <c r="H53" i="5"/>
  <c r="H29" i="5"/>
  <c r="H85" i="5"/>
  <c r="H75" i="5"/>
  <c r="H67" i="5"/>
  <c r="H58" i="5"/>
  <c r="H50" i="5"/>
  <c r="H42" i="5"/>
  <c r="H34" i="5"/>
  <c r="H26" i="5"/>
  <c r="H18" i="5"/>
  <c r="H80" i="5"/>
  <c r="H94" i="5"/>
  <c r="H63" i="5"/>
  <c r="H14" i="5"/>
  <c r="H62" i="5"/>
  <c r="H21" i="5"/>
  <c r="H84" i="5"/>
  <c r="H74" i="5"/>
  <c r="H66" i="5"/>
  <c r="H57" i="5"/>
  <c r="H49" i="5"/>
  <c r="H41" i="5"/>
  <c r="H33" i="5"/>
  <c r="H25" i="5"/>
  <c r="H17" i="5"/>
  <c r="H98" i="5"/>
  <c r="H81" i="5"/>
  <c r="G98" i="5"/>
  <c r="G83" i="5"/>
  <c r="G73" i="5"/>
  <c r="G65" i="5"/>
  <c r="G56" i="5"/>
  <c r="G48" i="5"/>
  <c r="G40" i="5"/>
  <c r="G32" i="5"/>
  <c r="G24" i="5"/>
  <c r="G16" i="5"/>
  <c r="G92" i="5"/>
  <c r="G100" i="5"/>
  <c r="G106" i="5"/>
  <c r="G105" i="5"/>
  <c r="G103" i="5"/>
  <c r="G104" i="5"/>
  <c r="G102" i="5"/>
  <c r="G107" i="5"/>
  <c r="G82" i="5"/>
  <c r="G72" i="5"/>
  <c r="G64" i="5"/>
  <c r="G55" i="5"/>
  <c r="G47" i="5"/>
  <c r="G39" i="5"/>
  <c r="G31" i="5"/>
  <c r="G23" i="5"/>
  <c r="G15" i="5"/>
  <c r="G96" i="5"/>
  <c r="G101" i="5"/>
  <c r="G63" i="5"/>
  <c r="G38" i="5"/>
  <c r="G22" i="5"/>
  <c r="G14" i="5"/>
  <c r="G93" i="5"/>
  <c r="G88" i="5"/>
  <c r="G78" i="5"/>
  <c r="G70" i="5"/>
  <c r="G62" i="5"/>
  <c r="G53" i="5"/>
  <c r="G45" i="5"/>
  <c r="G37" i="5"/>
  <c r="G29" i="5"/>
  <c r="G21" i="5"/>
  <c r="G13" i="5"/>
  <c r="G91" i="5"/>
  <c r="G94" i="5"/>
  <c r="G79" i="5"/>
  <c r="G54" i="5"/>
  <c r="G30" i="5"/>
  <c r="G97" i="5"/>
  <c r="G87" i="5"/>
  <c r="G77" i="5"/>
  <c r="G69" i="5"/>
  <c r="G61" i="5"/>
  <c r="G52" i="5"/>
  <c r="G44" i="5"/>
  <c r="G36" i="5"/>
  <c r="G28" i="5"/>
  <c r="G20" i="5"/>
  <c r="G12" i="5"/>
  <c r="G89" i="5"/>
  <c r="G81" i="5"/>
  <c r="G71" i="5"/>
  <c r="G86" i="5"/>
  <c r="G76" i="5"/>
  <c r="G68" i="5"/>
  <c r="G60" i="5"/>
  <c r="G51" i="5"/>
  <c r="G43" i="5"/>
  <c r="G35" i="5"/>
  <c r="G27" i="5"/>
  <c r="G19" i="5"/>
  <c r="G11" i="5"/>
  <c r="G80" i="5"/>
  <c r="G99" i="5"/>
  <c r="G46" i="5"/>
  <c r="G85" i="5"/>
  <c r="G75" i="5"/>
  <c r="G67" i="5"/>
  <c r="G58" i="5"/>
  <c r="G50" i="5"/>
  <c r="G42" i="5"/>
  <c r="G34" i="5"/>
  <c r="G26" i="5"/>
  <c r="G18" i="5"/>
  <c r="G95" i="5"/>
  <c r="G59" i="5"/>
  <c r="G84" i="5"/>
  <c r="G74" i="5"/>
  <c r="G66" i="5"/>
  <c r="G57" i="5"/>
  <c r="G49" i="5"/>
  <c r="G41" i="5"/>
  <c r="G33" i="5"/>
  <c r="G25" i="5"/>
  <c r="G17" i="5"/>
  <c r="G90" i="5"/>
  <c r="C107" i="5"/>
  <c r="C106" i="5"/>
  <c r="F107" i="5"/>
  <c r="F106" i="5"/>
  <c r="D107" i="5"/>
  <c r="E106" i="5"/>
  <c r="D106" i="5"/>
  <c r="E107" i="5"/>
  <c r="C105" i="5"/>
  <c r="F105" i="5"/>
  <c r="E105" i="5"/>
  <c r="D105" i="5"/>
  <c r="F103" i="5"/>
  <c r="C103" i="5"/>
  <c r="E103" i="5"/>
  <c r="D103" i="5"/>
  <c r="D104" i="5"/>
  <c r="C104" i="5"/>
  <c r="F104" i="5"/>
  <c r="E104" i="5"/>
  <c r="E102" i="5"/>
  <c r="C102" i="5"/>
  <c r="F102" i="5"/>
  <c r="D102" i="5"/>
  <c r="F100" i="5"/>
  <c r="E100" i="5"/>
  <c r="D100" i="5"/>
  <c r="C100" i="5"/>
  <c r="F101" i="5"/>
  <c r="E101" i="5"/>
  <c r="F99" i="5"/>
  <c r="D101" i="5"/>
  <c r="D99" i="5"/>
  <c r="C99" i="5"/>
  <c r="C101" i="5"/>
  <c r="E99" i="5"/>
  <c r="C96" i="5"/>
  <c r="D97" i="5"/>
  <c r="C97" i="5"/>
  <c r="F97" i="5"/>
  <c r="F98" i="5"/>
  <c r="C98" i="5"/>
  <c r="D98" i="5"/>
  <c r="E97" i="5"/>
  <c r="E98" i="5"/>
  <c r="D96" i="5"/>
  <c r="F96" i="5"/>
  <c r="E96" i="5"/>
  <c r="F94" i="5"/>
  <c r="C93" i="5"/>
  <c r="F93" i="5"/>
  <c r="E94" i="5"/>
  <c r="F95" i="5"/>
  <c r="C94" i="5"/>
  <c r="D94" i="5"/>
  <c r="D93" i="5"/>
  <c r="E95" i="5"/>
  <c r="C95" i="5"/>
  <c r="E93" i="5"/>
  <c r="D95" i="5"/>
  <c r="C92" i="5"/>
  <c r="D92" i="5"/>
  <c r="E92" i="5"/>
  <c r="F92" i="5"/>
  <c r="F91" i="5"/>
  <c r="C89" i="5"/>
  <c r="E89" i="5"/>
  <c r="F89" i="5"/>
  <c r="E91" i="5"/>
  <c r="D91" i="5"/>
  <c r="D89" i="5"/>
  <c r="F90" i="5"/>
  <c r="C90" i="5"/>
  <c r="C91" i="5"/>
  <c r="E90" i="5"/>
  <c r="D90" i="5"/>
  <c r="E8" i="9"/>
  <c r="B5" i="9"/>
  <c r="C4" i="9" s="1"/>
  <c r="E10" i="9"/>
  <c r="E16" i="9"/>
  <c r="E9" i="9"/>
  <c r="E14" i="9"/>
  <c r="E13" i="9"/>
  <c r="E15" i="9"/>
  <c r="E20" i="9"/>
  <c r="E19" i="9"/>
  <c r="C59" i="5"/>
  <c r="D59" i="5"/>
  <c r="E59" i="5"/>
  <c r="F59" i="5"/>
  <c r="E81" i="5"/>
  <c r="E80" i="5"/>
  <c r="F80" i="5"/>
  <c r="D81" i="5"/>
  <c r="D80" i="5"/>
  <c r="C80" i="5"/>
  <c r="F81" i="5"/>
  <c r="C81" i="5"/>
  <c r="E87" i="5"/>
  <c r="F87" i="5"/>
  <c r="E61" i="5"/>
  <c r="F61" i="5"/>
  <c r="E86" i="5"/>
  <c r="F86" i="5"/>
  <c r="E60" i="5"/>
  <c r="F60" i="5"/>
  <c r="F85" i="5"/>
  <c r="E85" i="5"/>
  <c r="F50" i="5"/>
  <c r="E50" i="5"/>
  <c r="F26" i="5"/>
  <c r="E26" i="5"/>
  <c r="F10" i="5"/>
  <c r="E10" i="5"/>
  <c r="E66" i="5"/>
  <c r="F66" i="5"/>
  <c r="E49" i="5"/>
  <c r="F49" i="5"/>
  <c r="E83" i="5"/>
  <c r="F83" i="5"/>
  <c r="E73" i="5"/>
  <c r="F73" i="5"/>
  <c r="E65" i="5"/>
  <c r="F65" i="5"/>
  <c r="E56" i="5"/>
  <c r="F56" i="5"/>
  <c r="E48" i="5"/>
  <c r="F48" i="5"/>
  <c r="E40" i="5"/>
  <c r="F40" i="5"/>
  <c r="E32" i="5"/>
  <c r="F32" i="5"/>
  <c r="E24" i="5"/>
  <c r="F24" i="5"/>
  <c r="E16" i="5"/>
  <c r="F16" i="5"/>
  <c r="E76" i="5"/>
  <c r="F76" i="5"/>
  <c r="E43" i="5"/>
  <c r="F43" i="5"/>
  <c r="E27" i="5"/>
  <c r="F27" i="5"/>
  <c r="F75" i="5"/>
  <c r="E75" i="5"/>
  <c r="F42" i="5"/>
  <c r="E42" i="5"/>
  <c r="F18" i="5"/>
  <c r="E18" i="5"/>
  <c r="E84" i="5"/>
  <c r="F84" i="5"/>
  <c r="E82" i="5"/>
  <c r="F82" i="5"/>
  <c r="F72" i="5"/>
  <c r="E72" i="5"/>
  <c r="E64" i="5"/>
  <c r="F64" i="5"/>
  <c r="E55" i="5"/>
  <c r="F55" i="5"/>
  <c r="E47" i="5"/>
  <c r="F47" i="5"/>
  <c r="E39" i="5"/>
  <c r="F39" i="5"/>
  <c r="F31" i="5"/>
  <c r="E31" i="5"/>
  <c r="F23" i="5"/>
  <c r="E23" i="5"/>
  <c r="E15" i="5"/>
  <c r="F15" i="5"/>
  <c r="E69" i="5"/>
  <c r="F69" i="5"/>
  <c r="E44" i="5"/>
  <c r="F44" i="5"/>
  <c r="E36" i="5"/>
  <c r="F36" i="5"/>
  <c r="E20" i="5"/>
  <c r="F20" i="5"/>
  <c r="E12" i="5"/>
  <c r="F12" i="5"/>
  <c r="E68" i="5"/>
  <c r="F68" i="5"/>
  <c r="E35" i="5"/>
  <c r="F35" i="5"/>
  <c r="E19" i="5"/>
  <c r="F19" i="5"/>
  <c r="E11" i="5"/>
  <c r="F11" i="5"/>
  <c r="F67" i="5"/>
  <c r="E67" i="5"/>
  <c r="E79" i="5"/>
  <c r="F79" i="5"/>
  <c r="F71" i="5"/>
  <c r="E71" i="5"/>
  <c r="E63" i="5"/>
  <c r="F63" i="5"/>
  <c r="E54" i="5"/>
  <c r="F54" i="5"/>
  <c r="E46" i="5"/>
  <c r="F46" i="5"/>
  <c r="F38" i="5"/>
  <c r="E38" i="5"/>
  <c r="F30" i="5"/>
  <c r="E30" i="5"/>
  <c r="E22" i="5"/>
  <c r="F22" i="5"/>
  <c r="F14" i="5"/>
  <c r="E14" i="5"/>
  <c r="E77" i="5"/>
  <c r="F77" i="5"/>
  <c r="E52" i="5"/>
  <c r="F52" i="5"/>
  <c r="E28" i="5"/>
  <c r="F28" i="5"/>
  <c r="E51" i="5"/>
  <c r="F51" i="5"/>
  <c r="F58" i="5"/>
  <c r="E58" i="5"/>
  <c r="F34" i="5"/>
  <c r="E34" i="5"/>
  <c r="E74" i="5"/>
  <c r="F74" i="5"/>
  <c r="E57" i="5"/>
  <c r="F57" i="5"/>
  <c r="E41" i="5"/>
  <c r="F41" i="5"/>
  <c r="E33" i="5"/>
  <c r="F33" i="5"/>
  <c r="E25" i="5"/>
  <c r="F25" i="5"/>
  <c r="E17" i="5"/>
  <c r="F17" i="5"/>
  <c r="E88" i="5"/>
  <c r="F88" i="5"/>
  <c r="E78" i="5"/>
  <c r="F78" i="5"/>
  <c r="E70" i="5"/>
  <c r="F70" i="5"/>
  <c r="E62" i="5"/>
  <c r="F62" i="5"/>
  <c r="E53" i="5"/>
  <c r="F53" i="5"/>
  <c r="E45" i="5"/>
  <c r="F45" i="5"/>
  <c r="E37" i="5"/>
  <c r="F37" i="5"/>
  <c r="E29" i="5"/>
  <c r="F29" i="5"/>
  <c r="E21" i="5"/>
  <c r="F21" i="5"/>
  <c r="E13" i="5"/>
  <c r="F13" i="5"/>
  <c r="C87" i="5"/>
  <c r="D42" i="5"/>
  <c r="D82" i="5"/>
  <c r="D72" i="5"/>
  <c r="C58" i="5"/>
  <c r="C42" i="5"/>
  <c r="C26" i="5"/>
  <c r="C83" i="5"/>
  <c r="D32" i="5"/>
  <c r="C84" i="5"/>
  <c r="C74" i="5"/>
  <c r="C66" i="5"/>
  <c r="C57" i="5"/>
  <c r="C49" i="5"/>
  <c r="C41" i="5"/>
  <c r="C33" i="5"/>
  <c r="C25" i="5"/>
  <c r="C17" i="5"/>
  <c r="D64" i="5"/>
  <c r="D47" i="5"/>
  <c r="D31" i="5"/>
  <c r="D15" i="5"/>
  <c r="C50" i="5"/>
  <c r="C34" i="5"/>
  <c r="C18" i="5"/>
  <c r="D48" i="5"/>
  <c r="D16" i="5"/>
  <c r="C73" i="5"/>
  <c r="C65" i="5"/>
  <c r="C56" i="5"/>
  <c r="C48" i="5"/>
  <c r="C40" i="5"/>
  <c r="C32" i="5"/>
  <c r="C24" i="5"/>
  <c r="C16" i="5"/>
  <c r="D62" i="5"/>
  <c r="D45" i="5"/>
  <c r="D29" i="5"/>
  <c r="D13" i="5"/>
  <c r="C64" i="5"/>
  <c r="C55" i="5"/>
  <c r="C47" i="5"/>
  <c r="C39" i="5"/>
  <c r="C31" i="5"/>
  <c r="C23" i="5"/>
  <c r="C15" i="5"/>
  <c r="D58" i="5"/>
  <c r="D26" i="5"/>
  <c r="D56" i="5"/>
  <c r="D40" i="5"/>
  <c r="D24" i="5"/>
  <c r="D39" i="5"/>
  <c r="D53" i="5"/>
  <c r="D37" i="5"/>
  <c r="D21" i="5"/>
  <c r="D55" i="5"/>
  <c r="D23" i="5"/>
  <c r="D60" i="5"/>
  <c r="D51" i="5"/>
  <c r="D43" i="5"/>
  <c r="D35" i="5"/>
  <c r="D27" i="5"/>
  <c r="D19" i="5"/>
  <c r="D11" i="5"/>
  <c r="D50" i="5"/>
  <c r="D34" i="5"/>
  <c r="D18" i="5"/>
  <c r="C63" i="5"/>
  <c r="C54" i="5"/>
  <c r="C46" i="5"/>
  <c r="C38" i="5"/>
  <c r="C30" i="5"/>
  <c r="C22" i="5"/>
  <c r="C14" i="5"/>
  <c r="C82" i="5"/>
  <c r="C62" i="5"/>
  <c r="C53" i="5"/>
  <c r="C45" i="5"/>
  <c r="C37" i="5"/>
  <c r="C29" i="5"/>
  <c r="C21" i="5"/>
  <c r="C13" i="5"/>
  <c r="D63" i="5"/>
  <c r="D54" i="5"/>
  <c r="D46" i="5"/>
  <c r="D38" i="5"/>
  <c r="D30" i="5"/>
  <c r="D22" i="5"/>
  <c r="D14" i="5"/>
  <c r="C61" i="5"/>
  <c r="C44" i="5"/>
  <c r="C36" i="5"/>
  <c r="C28" i="5"/>
  <c r="C20" i="5"/>
  <c r="C12" i="5"/>
  <c r="C60" i="5"/>
  <c r="C51" i="5"/>
  <c r="C43" i="5"/>
  <c r="C35" i="5"/>
  <c r="C27" i="5"/>
  <c r="C19" i="5"/>
  <c r="C11" i="5"/>
  <c r="D61" i="5"/>
  <c r="D52" i="5"/>
  <c r="D44" i="5"/>
  <c r="D36" i="5"/>
  <c r="D28" i="5"/>
  <c r="D20" i="5"/>
  <c r="D12" i="5"/>
  <c r="C52" i="5"/>
  <c r="C10" i="5"/>
  <c r="C72" i="5"/>
  <c r="D10" i="5"/>
  <c r="D57" i="5"/>
  <c r="D49" i="5"/>
  <c r="D41" i="5"/>
  <c r="D33" i="5"/>
  <c r="D25" i="5"/>
  <c r="D17" i="5"/>
  <c r="C71" i="5"/>
  <c r="D70" i="5"/>
  <c r="C88" i="5"/>
  <c r="C78" i="5"/>
  <c r="C70" i="5"/>
  <c r="D87" i="5"/>
  <c r="D77" i="5"/>
  <c r="D69" i="5"/>
  <c r="C79" i="5"/>
  <c r="D78" i="5"/>
  <c r="C77" i="5"/>
  <c r="C69" i="5"/>
  <c r="D86" i="5"/>
  <c r="D76" i="5"/>
  <c r="D68" i="5"/>
  <c r="C86" i="5"/>
  <c r="C76" i="5"/>
  <c r="C68" i="5"/>
  <c r="D85" i="5"/>
  <c r="D75" i="5"/>
  <c r="D67" i="5"/>
  <c r="C85" i="5"/>
  <c r="C75" i="5"/>
  <c r="C67" i="5"/>
  <c r="D84" i="5"/>
  <c r="D74" i="5"/>
  <c r="D66" i="5"/>
  <c r="D83" i="5"/>
  <c r="D73" i="5"/>
  <c r="D65" i="5"/>
  <c r="D79" i="5"/>
  <c r="D71" i="5"/>
  <c r="D88" i="5"/>
  <c r="E12" i="2"/>
  <c r="D12" i="2"/>
  <c r="C12" i="2"/>
  <c r="B12" i="2"/>
  <c r="F19" i="9" l="1"/>
  <c r="C3" i="9"/>
  <c r="C2" i="9"/>
  <c r="F8" i="9"/>
  <c r="F13" i="9"/>
  <c r="F9" i="9"/>
  <c r="F20" i="9"/>
  <c r="F15" i="9"/>
  <c r="F14" i="9"/>
  <c r="F16" i="9"/>
  <c r="F10" i="9"/>
  <c r="E28" i="2"/>
  <c r="E29" i="2"/>
  <c r="E30" i="2"/>
  <c r="E31" i="2"/>
  <c r="E32" i="2"/>
  <c r="E33" i="2"/>
  <c r="E34" i="2"/>
  <c r="E35" i="2"/>
  <c r="E36" i="2"/>
  <c r="E37" i="2"/>
  <c r="E38" i="2"/>
  <c r="E39" i="2"/>
  <c r="D28" i="2"/>
  <c r="D29" i="2"/>
  <c r="D31" i="2"/>
  <c r="D32" i="2"/>
  <c r="D33" i="2"/>
  <c r="D34" i="2"/>
  <c r="D35" i="2"/>
  <c r="D36" i="2"/>
  <c r="D37" i="2"/>
  <c r="D38" i="2"/>
  <c r="D39" i="2"/>
  <c r="C28" i="2"/>
  <c r="C29" i="2"/>
  <c r="C30" i="2"/>
  <c r="C31" i="2"/>
  <c r="C32" i="2"/>
  <c r="C33" i="2"/>
  <c r="C34" i="2"/>
  <c r="C35" i="2"/>
  <c r="C36" i="2"/>
  <c r="C37" i="2"/>
  <c r="C38" i="2"/>
  <c r="C39" i="2"/>
  <c r="B29" i="2"/>
  <c r="B30" i="2"/>
  <c r="B31" i="2"/>
  <c r="B32" i="2"/>
  <c r="B33" i="2"/>
  <c r="B34" i="2"/>
  <c r="B35" i="2"/>
  <c r="B37" i="2"/>
  <c r="B38" i="2"/>
  <c r="B39" i="2"/>
  <c r="K28" i="1" l="1"/>
  <c r="L28" i="1" s="1"/>
  <c r="K27" i="1"/>
  <c r="L27" i="1" s="1"/>
  <c r="K29" i="1"/>
  <c r="L29" i="1" s="1"/>
  <c r="G30" i="2" s="1"/>
  <c r="K30" i="1"/>
  <c r="L30" i="1" s="1"/>
  <c r="K31" i="1"/>
  <c r="L31" i="1" s="1"/>
  <c r="G32" i="2" s="1"/>
  <c r="K32" i="1"/>
  <c r="L32" i="1" s="1"/>
  <c r="K33" i="1"/>
  <c r="L33" i="1" s="1"/>
  <c r="K34" i="1"/>
  <c r="L34" i="1" s="1"/>
  <c r="K36" i="1"/>
  <c r="L36" i="1" s="1"/>
  <c r="K35" i="1"/>
  <c r="L35" i="1" s="1"/>
  <c r="K37" i="1"/>
  <c r="L37" i="1" s="1"/>
  <c r="G38" i="2" s="1"/>
  <c r="K38" i="1"/>
  <c r="L38" i="1" s="1"/>
  <c r="K39" i="1"/>
  <c r="L39" i="1" s="1"/>
  <c r="G40" i="2"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G52" i="2" s="1"/>
  <c r="K53" i="1"/>
  <c r="L53" i="1" s="1"/>
  <c r="G53" i="2" s="1"/>
  <c r="K54" i="1"/>
  <c r="L54" i="1" s="1"/>
  <c r="G54" i="2" s="1"/>
  <c r="K55" i="1"/>
  <c r="L55" i="1" s="1"/>
  <c r="G55" i="2" s="1"/>
  <c r="K56" i="1"/>
  <c r="L56" i="1" s="1"/>
  <c r="G56" i="2" s="1"/>
  <c r="K57" i="1"/>
  <c r="L57" i="1" s="1"/>
  <c r="G57" i="2" s="1"/>
  <c r="K58" i="1"/>
  <c r="L58" i="1" s="1"/>
  <c r="G58" i="2" s="1"/>
  <c r="K59" i="1"/>
  <c r="L59" i="1" s="1"/>
  <c r="G59" i="2" s="1"/>
  <c r="K60" i="1"/>
  <c r="L60" i="1" s="1"/>
  <c r="G60" i="2" s="1"/>
  <c r="K61" i="1"/>
  <c r="L61" i="1" s="1"/>
  <c r="G61" i="2" s="1"/>
  <c r="L62" i="1"/>
  <c r="G62" i="2" s="1"/>
  <c r="G63" i="2"/>
  <c r="G64" i="2"/>
  <c r="G65" i="2"/>
  <c r="G66" i="2"/>
  <c r="G67" i="2"/>
  <c r="G68" i="2"/>
  <c r="G69" i="2"/>
  <c r="G70" i="2"/>
  <c r="G71" i="2"/>
  <c r="G72" i="2"/>
  <c r="G73" i="2"/>
  <c r="E13" i="2"/>
  <c r="E14" i="2"/>
  <c r="E15" i="2"/>
  <c r="E16" i="2"/>
  <c r="E17" i="2"/>
  <c r="E18" i="2"/>
  <c r="E19" i="2"/>
  <c r="E20" i="2"/>
  <c r="E21" i="2"/>
  <c r="E22" i="2"/>
  <c r="E23" i="2"/>
  <c r="E24" i="2"/>
  <c r="E25" i="2"/>
  <c r="E26" i="2"/>
  <c r="E27" i="2"/>
  <c r="E11" i="2"/>
  <c r="D13" i="2"/>
  <c r="D14" i="2"/>
  <c r="D15" i="2"/>
  <c r="D16" i="2"/>
  <c r="D17" i="2"/>
  <c r="D18" i="2"/>
  <c r="D19" i="2"/>
  <c r="D20" i="2"/>
  <c r="D21" i="2"/>
  <c r="D22" i="2"/>
  <c r="D23" i="2"/>
  <c r="D24" i="2"/>
  <c r="D25" i="2"/>
  <c r="D26" i="2"/>
  <c r="D27" i="2"/>
  <c r="D11" i="2"/>
  <c r="C13" i="2"/>
  <c r="C14" i="2"/>
  <c r="C15" i="2"/>
  <c r="C16" i="2"/>
  <c r="C17" i="2"/>
  <c r="C18" i="2"/>
  <c r="C19" i="2"/>
  <c r="C20" i="2"/>
  <c r="C21" i="2"/>
  <c r="C22" i="2"/>
  <c r="C23" i="2"/>
  <c r="C24" i="2"/>
  <c r="C25" i="2"/>
  <c r="C26" i="2"/>
  <c r="C27" i="2"/>
  <c r="C11" i="2"/>
  <c r="B13" i="2"/>
  <c r="B14" i="2"/>
  <c r="B15" i="2"/>
  <c r="B16" i="2"/>
  <c r="B17" i="2"/>
  <c r="B18" i="2"/>
  <c r="B19" i="2"/>
  <c r="B20" i="2"/>
  <c r="B21" i="2"/>
  <c r="B22" i="2"/>
  <c r="B23" i="2"/>
  <c r="B24" i="2"/>
  <c r="B25" i="2"/>
  <c r="B26" i="2"/>
  <c r="B27" i="2"/>
  <c r="B11" i="2"/>
  <c r="K26" i="1"/>
  <c r="L26" i="1" s="1"/>
  <c r="G27" i="2" s="1"/>
  <c r="K11" i="1"/>
  <c r="L11" i="1" s="1"/>
  <c r="G11" i="2" s="1"/>
  <c r="K12" i="1"/>
  <c r="L12" i="1" s="1"/>
  <c r="K13" i="1"/>
  <c r="L13" i="1" s="1"/>
  <c r="K15" i="1"/>
  <c r="L15" i="1" s="1"/>
  <c r="K14" i="1"/>
  <c r="L14" i="1" s="1"/>
  <c r="K16" i="1"/>
  <c r="L16" i="1" s="1"/>
  <c r="K17" i="1"/>
  <c r="L17" i="1" s="1"/>
  <c r="K18" i="1"/>
  <c r="L18" i="1" s="1"/>
  <c r="K19" i="1"/>
  <c r="L19" i="1" s="1"/>
  <c r="K20" i="1"/>
  <c r="L20" i="1" s="1"/>
  <c r="K21" i="1"/>
  <c r="L21" i="1" s="1"/>
  <c r="K22" i="1"/>
  <c r="L22" i="1" s="1"/>
  <c r="K23" i="1"/>
  <c r="L23" i="1" s="1"/>
  <c r="K24" i="1"/>
  <c r="L24" i="1" s="1"/>
  <c r="G25" i="2" s="1"/>
  <c r="K25" i="1"/>
  <c r="L25" i="1" s="1"/>
  <c r="G15" i="2" l="1"/>
  <c r="G47" i="2"/>
  <c r="G45" i="2"/>
  <c r="G48" i="2"/>
  <c r="G44" i="2"/>
  <c r="G43" i="2"/>
  <c r="G50" i="2"/>
  <c r="G42" i="2"/>
  <c r="G49" i="2"/>
  <c r="G41" i="2"/>
  <c r="G46" i="2"/>
  <c r="G36" i="2"/>
  <c r="G28" i="2"/>
  <c r="G34" i="2"/>
  <c r="G23" i="2"/>
  <c r="G21" i="2"/>
  <c r="G19" i="2"/>
  <c r="G17" i="2"/>
  <c r="G20" i="2"/>
  <c r="G35" i="2"/>
  <c r="G26" i="2"/>
  <c r="G18" i="2"/>
  <c r="G24" i="2"/>
  <c r="G22" i="2"/>
  <c r="G33" i="2"/>
  <c r="G16" i="2"/>
  <c r="G51" i="2"/>
  <c r="G39" i="2"/>
  <c r="G31" i="2"/>
  <c r="G14" i="2"/>
  <c r="G37" i="2"/>
  <c r="G29" i="2"/>
  <c r="G13" i="2"/>
  <c r="G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Guilamo Gutierrez</author>
    <author>tc={9BD86849-1B89-4F0A-ABDD-090DD5C3C5BC}</author>
  </authors>
  <commentList>
    <comment ref="A26" authorId="0" shapeId="0" xr:uid="{95FE00C5-16FE-4EAA-BEE9-C714209EA826}">
      <text>
        <r>
          <rPr>
            <b/>
            <sz val="9"/>
            <color indexed="81"/>
            <rFont val="Tahoma"/>
            <family val="2"/>
          </rPr>
          <t>William Guilamo Gutierrez:</t>
        </r>
        <r>
          <rPr>
            <sz val="9"/>
            <color indexed="81"/>
            <rFont val="Tahoma"/>
            <family val="2"/>
          </rPr>
          <t xml:space="preserve">
Día no laborable por decreto debido a huracán Fiona</t>
        </r>
      </text>
    </comment>
    <comment ref="A27" authorId="1" shapeId="0" xr:uid="{9BD86849-1B89-4F0A-ABDD-090DD5C3C5B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Dia no laborable según derecho 772-23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95558B-FB8C-4FFE-839D-7AB300D81DE6}"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961F1BC-D15A-4BA8-8B6D-6128FDBF484A}" name="WorksheetConnection_Formato Matriz R Q Y S v1.xlsb.xlsx!Tabla1" type="102" refreshedVersion="8" minRefreshableVersion="5">
    <extLst>
      <ext xmlns:x15="http://schemas.microsoft.com/office/spreadsheetml/2010/11/main" uri="{DE250136-89BD-433C-8126-D09CA5730AF9}">
        <x15:connection id="Tabla1" autoDelete="1">
          <x15:rangePr sourceName="_xlcn.WorksheetConnection_FormatoMatrizRQYSv1.xlsb.xlsxTabla11"/>
        </x15:connection>
      </ext>
    </extLst>
  </connection>
  <connection id="3" xr16:uid="{E86C637A-E146-4B83-A2AE-7D2B0C1AB9FD}" name="WorksheetConnection_Formato Matriz R Q Y S v1.xlsb.xlsx!Tabla3" type="102" refreshedVersion="8" minRefreshableVersion="5">
    <extLst>
      <ext xmlns:x15="http://schemas.microsoft.com/office/spreadsheetml/2010/11/main" uri="{DE250136-89BD-433C-8126-D09CA5730AF9}">
        <x15:connection id="Tabla3">
          <x15:rangePr sourceName="_xlcn.WorksheetConnection_FormatoMatrizRQYSv1.xlsb.xlsxTabla31"/>
        </x15:connection>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6">
    <s v="ThisWorkbookDataModel"/>
    <s v="{[Tabla1].[Año].&amp;[2023]}"/>
    <s v="{[Tabla1].[Trimestre].&amp;[T3]}"/>
    <s v="{[Tabla1].[Trimestre].[All]}"/>
    <s v="{[Tabla1].[Estatus].&amp;[Cerrado]}"/>
    <s v="{[Tabla1].[Año].&amp;[2022]}"/>
  </metadataStrings>
  <mdxMetadata count="5">
    <mdx n="0" f="s">
      <ms ns="1" c="0"/>
    </mdx>
    <mdx n="0" f="s">
      <ms ns="2" c="0"/>
    </mdx>
    <mdx n="0" f="s">
      <ms ns="3" c="0"/>
    </mdx>
    <mdx n="0" f="s">
      <ms ns="4" c="0"/>
    </mdx>
    <mdx n="0" f="s">
      <ms ns="5" c="0"/>
    </mdx>
  </mdxMetadata>
  <futureMetadata name="XLDAPR" count="1">
    <bk>
      <extLst>
        <ext uri="{bdbb8cdc-fa1e-496e-a857-3c3f30c029c3}">
          <xda:dynamicArrayProperties fDynamic="1" fCollapsed="0"/>
        </ext>
      </extLst>
    </bk>
  </futureMetadata>
  <cellMetadata count="1">
    <bk>
      <rc t="2" v="0"/>
    </bk>
  </cellMetadata>
  <valueMetadata count="5">
    <bk>
      <rc t="1" v="0"/>
    </bk>
    <bk>
      <rc t="1" v="1"/>
    </bk>
    <bk>
      <rc t="1" v="2"/>
    </bk>
    <bk>
      <rc t="1" v="3"/>
    </bk>
    <bk>
      <rc t="1" v="4"/>
    </bk>
  </valueMetadata>
</metadata>
</file>

<file path=xl/sharedStrings.xml><?xml version="1.0" encoding="utf-8"?>
<sst xmlns="http://schemas.openxmlformats.org/spreadsheetml/2006/main" count="2940" uniqueCount="719">
  <si>
    <t xml:space="preserve">No. </t>
  </si>
  <si>
    <t xml:space="preserve">Datos del Reclamante </t>
  </si>
  <si>
    <t xml:space="preserve">Nombre </t>
  </si>
  <si>
    <t xml:space="preserve">Email </t>
  </si>
  <si>
    <t xml:space="preserve">Teléfono </t>
  </si>
  <si>
    <t xml:space="preserve">Área Responsable </t>
  </si>
  <si>
    <t xml:space="preserve">Fecha de 
Registro </t>
  </si>
  <si>
    <t xml:space="preserve">Servicio 
Afectado </t>
  </si>
  <si>
    <t xml:space="preserve"> Tipo de Registro  </t>
  </si>
  <si>
    <t xml:space="preserve">Estatus </t>
  </si>
  <si>
    <t xml:space="preserve">Evaluación del Riesgo </t>
  </si>
  <si>
    <t>Probabilidad</t>
  </si>
  <si>
    <t xml:space="preserve">Impacto </t>
  </si>
  <si>
    <t xml:space="preserve">Nivel del Riesgo  </t>
  </si>
  <si>
    <t xml:space="preserve">Calificación </t>
  </si>
  <si>
    <t xml:space="preserve">Actividades </t>
  </si>
  <si>
    <t xml:space="preserve">Fecha de Inicio </t>
  </si>
  <si>
    <t xml:space="preserve">Fecha de Fin </t>
  </si>
  <si>
    <t xml:space="preserve">Responsable (s) de la Implementación </t>
  </si>
  <si>
    <t xml:space="preserve">Causa Raiz </t>
  </si>
  <si>
    <t xml:space="preserve">Acción de Mejora </t>
  </si>
  <si>
    <t xml:space="preserve">Nivel de Riesgo </t>
  </si>
  <si>
    <t xml:space="preserve">Tipo de Registro </t>
  </si>
  <si>
    <t xml:space="preserve">Seleccionar </t>
  </si>
  <si>
    <t>Queja</t>
  </si>
  <si>
    <t xml:space="preserve">Reclamación </t>
  </si>
  <si>
    <t xml:space="preserve">Sugerencia </t>
  </si>
  <si>
    <t xml:space="preserve">Felicitaciones </t>
  </si>
  <si>
    <t xml:space="preserve">Código </t>
  </si>
  <si>
    <t xml:space="preserve">Codigo </t>
  </si>
  <si>
    <t>R01</t>
  </si>
  <si>
    <t xml:space="preserve">Queja/Sugerencia/ Reclamacion escaneada </t>
  </si>
  <si>
    <t>Q01</t>
  </si>
  <si>
    <t>Aridio Morillo</t>
  </si>
  <si>
    <t>829-587-3432</t>
  </si>
  <si>
    <t>aridiomorillo72@gmail.com</t>
  </si>
  <si>
    <t>Martines Laurencio</t>
  </si>
  <si>
    <t>martineslaurencio86@gmail.com</t>
  </si>
  <si>
    <t>Correspondencia</t>
  </si>
  <si>
    <t>Certificaciones de Cargos</t>
  </si>
  <si>
    <t>N/a</t>
  </si>
  <si>
    <t>Niurka Nuñez</t>
  </si>
  <si>
    <t>809-816-1189</t>
  </si>
  <si>
    <t>Q03</t>
  </si>
  <si>
    <t>Guillian Gonzales</t>
  </si>
  <si>
    <t>809-703-4972</t>
  </si>
  <si>
    <t>gonzalesguillian@gmail.com</t>
  </si>
  <si>
    <t>Concursos de oposición</t>
  </si>
  <si>
    <t>Lea Feliz Feliz</t>
  </si>
  <si>
    <t>809-669-8822</t>
  </si>
  <si>
    <t>Pago SNS</t>
  </si>
  <si>
    <t>R02</t>
  </si>
  <si>
    <t>Q04</t>
  </si>
  <si>
    <t>809-303-1468</t>
  </si>
  <si>
    <t>marinfante42@yahoo.com</t>
  </si>
  <si>
    <t>Datos del colaborador</t>
  </si>
  <si>
    <t>311-1</t>
  </si>
  <si>
    <t>311-2</t>
  </si>
  <si>
    <t>311-3</t>
  </si>
  <si>
    <t>311-4</t>
  </si>
  <si>
    <t>Q06</t>
  </si>
  <si>
    <t>Cerrado</t>
  </si>
  <si>
    <t xml:space="preserve">Isidro Cruz </t>
  </si>
  <si>
    <t>829-747-9948</t>
  </si>
  <si>
    <t>809-750-6255</t>
  </si>
  <si>
    <t xml:space="preserve">Alberth Melo </t>
  </si>
  <si>
    <t>849-362-1985</t>
  </si>
  <si>
    <t>Alberthyoung@hotmail.com</t>
  </si>
  <si>
    <t xml:space="preserve">Esterbina </t>
  </si>
  <si>
    <t>849-358-8793</t>
  </si>
  <si>
    <t xml:space="preserve">omarreyesramirez@gmail.com </t>
  </si>
  <si>
    <t xml:space="preserve">Autorización de Ordenes de pago </t>
  </si>
  <si>
    <t xml:space="preserve">Francisco Guzman </t>
  </si>
  <si>
    <t>809-665-7607</t>
  </si>
  <si>
    <t xml:space="preserve">División de Certificaciones de cargos </t>
  </si>
  <si>
    <t xml:space="preserve">División de Archivo Y Correspondencia </t>
  </si>
  <si>
    <t>División de Certificaciones de Cargos</t>
  </si>
  <si>
    <t>División de Mayordomía</t>
  </si>
  <si>
    <t xml:space="preserve">Dirección de Recursos Humanos </t>
  </si>
  <si>
    <t>N/A</t>
  </si>
  <si>
    <t xml:space="preserve">La reclamante se equivoco de institucion al realizar su reclamación </t>
  </si>
  <si>
    <t xml:space="preserve">La certificación de cargo no habia sido cerrada en nuestro sistema por ende el reclamante no podia descargarla </t>
  </si>
  <si>
    <t xml:space="preserve">Redireccionar la reclamación al Ministerio de Administración Pública informandole a la reclamante por correo  </t>
  </si>
  <si>
    <t xml:space="preserve">Enviar correo a la reclamante notificandole donde realizar la reclamación </t>
  </si>
  <si>
    <t xml:space="preserve">División de Calidad en la Gestión </t>
  </si>
  <si>
    <t>Cerrada</t>
  </si>
  <si>
    <t xml:space="preserve">Liberar la Certificación de Cargo desde el Sistema para que el ciudadano pueda descargarla o realizar una nueva </t>
  </si>
  <si>
    <t>Enviar correo al reclamante con el link de descarga para que pueda obtener su Certificación de Cargos</t>
  </si>
  <si>
    <t>Oficina De Acceso a la Información</t>
  </si>
  <si>
    <t>Se comunica con el reclamante para mitigar el incoveniente que se presentaba</t>
  </si>
  <si>
    <t>Llamar al reclamante para brindarla información</t>
  </si>
  <si>
    <t>Los datos del reclamante presenta incovenientes</t>
  </si>
  <si>
    <t>Este servicio no es proveido por la Contraloria General de la República</t>
  </si>
  <si>
    <t xml:space="preserve">Se comunica con el reclamante para informarle sobre este servicio </t>
  </si>
  <si>
    <t xml:space="preserve">División de Certificaciones de Cargos </t>
  </si>
  <si>
    <t>Validación tiempo de servicio, debe ser emitido por la institución perteneciente</t>
  </si>
  <si>
    <t>En ejecución</t>
  </si>
  <si>
    <t>S01</t>
  </si>
  <si>
    <t xml:space="preserve">Marisol Landais </t>
  </si>
  <si>
    <t>mlandais@contraloria.gob.do</t>
  </si>
  <si>
    <t>Servicio de Comida</t>
  </si>
  <si>
    <t>Dirección Administrativa Financiera</t>
  </si>
  <si>
    <t>Tipo de estatus</t>
  </si>
  <si>
    <t xml:space="preserve">Abierto </t>
  </si>
  <si>
    <t>Seleccionar</t>
  </si>
  <si>
    <t>Oficina de Acceso a la información</t>
  </si>
  <si>
    <t xml:space="preserve">Juana Brito </t>
  </si>
  <si>
    <t>829-989-5442</t>
  </si>
  <si>
    <t>juanabrito1@hotmail.com</t>
  </si>
  <si>
    <t>Dirección de Revisión Y Control de Calidad</t>
  </si>
  <si>
    <t>Q07</t>
  </si>
  <si>
    <t>Luis Rodriguez</t>
  </si>
  <si>
    <t>829-712-1241</t>
  </si>
  <si>
    <t>luisramonantoniorodriguez@gmail.com</t>
  </si>
  <si>
    <t>R03</t>
  </si>
  <si>
    <t>La carta laboral no especifica la fecha correcta del ingreso</t>
  </si>
  <si>
    <t>Corregir y remitir la certificación</t>
  </si>
  <si>
    <t>Remitir certificación mediante un link</t>
  </si>
  <si>
    <t xml:space="preserve">Procedencia </t>
  </si>
  <si>
    <t>Los expedientes de los colabroadores no estan actualizados y los colaboradores han entregado los documentos anteriormente</t>
  </si>
  <si>
    <t>Solicitud de documento para anexar a su expediente</t>
  </si>
  <si>
    <t xml:space="preserve">Completar expediente de los empleados </t>
  </si>
  <si>
    <t>R04</t>
  </si>
  <si>
    <t>R05</t>
  </si>
  <si>
    <t>R06</t>
  </si>
  <si>
    <t>Denia Miraanda</t>
  </si>
  <si>
    <t>809-350-6264</t>
  </si>
  <si>
    <t>PROVIMEDICASDQ@GMAIL.COM</t>
  </si>
  <si>
    <t>Carolyn Bravo Perez</t>
  </si>
  <si>
    <t>829-488-9366</t>
  </si>
  <si>
    <t>licdabravoperez@gmail.com</t>
  </si>
  <si>
    <t>809-889-6754</t>
  </si>
  <si>
    <t>arelis.garcia@minerd.gob.do</t>
  </si>
  <si>
    <t>Martina Benavides</t>
  </si>
  <si>
    <t>la certificacion no contempla las labores a partir del 2021</t>
  </si>
  <si>
    <t xml:space="preserve">Contactarse con el reclamante  y suminitras la información necesaria </t>
  </si>
  <si>
    <t>Enviar correo especificando que se necesita la copia de nomina de los años faltantes</t>
  </si>
  <si>
    <t>Q2022011821153</t>
  </si>
  <si>
    <t>Q2022040822558</t>
  </si>
  <si>
    <t>Q2022051023139</t>
  </si>
  <si>
    <t>Q2022070124386</t>
  </si>
  <si>
    <t>R07</t>
  </si>
  <si>
    <t>Juan Carlos Padrón</t>
  </si>
  <si>
    <t>809-851-7212</t>
  </si>
  <si>
    <t>juancarlos@padronoffice.com</t>
  </si>
  <si>
    <t xml:space="preserve">Departamento de Auditoria </t>
  </si>
  <si>
    <t>Q08</t>
  </si>
  <si>
    <t>Palmira Diaz Pérez</t>
  </si>
  <si>
    <t>809-707-4650</t>
  </si>
  <si>
    <t>Q09</t>
  </si>
  <si>
    <t>General</t>
  </si>
  <si>
    <t>La certificación de ordenes de pago, no figura en el sistema de pago s</t>
  </si>
  <si>
    <t>enviar un mensaje al reclamante, requiriendo más información para indagar la situación que se presenta</t>
  </si>
  <si>
    <t>La plataforma de Certificaciones de Cargos, no le permitia al reclamante proceder con la emisión de la certificación</t>
  </si>
  <si>
    <t>Enviar un mensaje al reclamante, diciendo que anexe los documentos para emitir desde la insititución</t>
  </si>
  <si>
    <t>Enviar la Certificación al Ciudadano mediante el correo electronico suministrado</t>
  </si>
  <si>
    <t>Dias CGR</t>
  </si>
  <si>
    <t>Departamento Administrativo</t>
  </si>
  <si>
    <t>Q10</t>
  </si>
  <si>
    <t>Alsesa Estevez</t>
  </si>
  <si>
    <t>809-916-1593</t>
  </si>
  <si>
    <t>anaestevezvelasquez@hotmail.com</t>
  </si>
  <si>
    <t xml:space="preserve">El reclamante, pudo realizar la certificación luego de que redujo la calidad de la imagen </t>
  </si>
  <si>
    <t>R08</t>
  </si>
  <si>
    <t>Esquibel</t>
  </si>
  <si>
    <t>ing.esquibel@hotmail.com</t>
  </si>
  <si>
    <t>R09</t>
  </si>
  <si>
    <t>Ruben Ramos</t>
  </si>
  <si>
    <t>axramos87@gmail.com</t>
  </si>
  <si>
    <t>849-875-9376</t>
  </si>
  <si>
    <t>Cliente</t>
  </si>
  <si>
    <t xml:space="preserve">Interno </t>
  </si>
  <si>
    <t>Interno</t>
  </si>
  <si>
    <t xml:space="preserve">Externo </t>
  </si>
  <si>
    <t>Línea 311</t>
  </si>
  <si>
    <t>Procedencia</t>
  </si>
  <si>
    <t>Buzón Web</t>
  </si>
  <si>
    <t>Correo Electrónico</t>
  </si>
  <si>
    <t>Teléfono</t>
  </si>
  <si>
    <t>Buzón Físico</t>
  </si>
  <si>
    <t>809-752-0623</t>
  </si>
  <si>
    <t xml:space="preserve">No se esta suministrando suficiente materiales gastables y no hay disponibilidad de agua </t>
  </si>
  <si>
    <t>Crear una campaña concientización del debido uso de los recuros y áreas físicas de las institución</t>
  </si>
  <si>
    <t>Se realizarán a traves de correos masivos y campaña de concientización</t>
  </si>
  <si>
    <t xml:space="preserve">*Departamento Administrativo                           *Sección Mayordomía                          *Servicios Generales                     *Dirección de Recursos Humanos                                                  *Dirección de Comunicaciones </t>
  </si>
  <si>
    <t xml:space="preserve">Actualización de certificaciones de Cargos </t>
  </si>
  <si>
    <t>El reclamante debe proceder a realizar nuevamente  la solcitud de la certificaciones de cargos para la actualización</t>
  </si>
  <si>
    <t>Enviar un correo al reclamante suminitrandole la información</t>
  </si>
  <si>
    <t>Fecha de ingreso no corresponde con la de la certificación de cargos</t>
  </si>
  <si>
    <t>la insititución por la cual se realiza solicitud, su nomina parte a partir del 2014 por la Contraloría General de la República</t>
  </si>
  <si>
    <t>Dirección de Revisión y Control de Calidad</t>
  </si>
  <si>
    <t>R10</t>
  </si>
  <si>
    <t>Juan Cueto</t>
  </si>
  <si>
    <t>809-815-3866</t>
  </si>
  <si>
    <t>División de Certficaciones de Cargos</t>
  </si>
  <si>
    <t>jcueto00011@gmail.com</t>
  </si>
  <si>
    <t>Q11</t>
  </si>
  <si>
    <t>Diana Arnaud</t>
  </si>
  <si>
    <t>dianaarnaud2717@gmail.com</t>
  </si>
  <si>
    <t>Servicios Personales</t>
  </si>
  <si>
    <t>Departamento de Serivicios Personales</t>
  </si>
  <si>
    <t>R11</t>
  </si>
  <si>
    <t>Gumercindo Reyes</t>
  </si>
  <si>
    <t>809-865-6755</t>
  </si>
  <si>
    <t>jior013@hotmail.com</t>
  </si>
  <si>
    <t>El reclamante percibia dos nombramientos en  su certificaciones de cargos</t>
  </si>
  <si>
    <t>Se verifica que el reclamante desempeño dos funciones en el transcuros de tiempo en el ministerio de educación</t>
  </si>
  <si>
    <t>Se envia un correo, explicando al ciudadano sobre las función que desempeño en ese transcurso</t>
  </si>
  <si>
    <t>Respuesta a Reclamación código 11</t>
  </si>
  <si>
    <t>Duplicidad de nomina</t>
  </si>
  <si>
    <t>Correo al reclamante para se comunique con la OAI</t>
  </si>
  <si>
    <t xml:space="preserve">Se envia un correo al reclamante brindandole la información </t>
  </si>
  <si>
    <t>Respuesta  Q11</t>
  </si>
  <si>
    <t>Departamento de Auditoría</t>
  </si>
  <si>
    <t>Emilio Rubio Peña</t>
  </si>
  <si>
    <t>829-886-7641</t>
  </si>
  <si>
    <t>duclerisrubio@hotmail.com</t>
  </si>
  <si>
    <t>R12</t>
  </si>
  <si>
    <t>R13</t>
  </si>
  <si>
    <t>Virginia del Rosario</t>
  </si>
  <si>
    <t>809-506-1354</t>
  </si>
  <si>
    <t>yisseldelrosario85@gmail.com</t>
  </si>
  <si>
    <t>R14</t>
  </si>
  <si>
    <t>Maricela Geraldo Ruiz</t>
  </si>
  <si>
    <t>809-536-7284</t>
  </si>
  <si>
    <t>maricela.gerar2@gmail.com</t>
  </si>
  <si>
    <t>R15</t>
  </si>
  <si>
    <t>Massiel Collado</t>
  </si>
  <si>
    <t>829-606-7531</t>
  </si>
  <si>
    <t>licda.mcollado@hotmail.com</t>
  </si>
  <si>
    <t>R16</t>
  </si>
  <si>
    <t>Manuel Subervi</t>
  </si>
  <si>
    <t>829-404-0193</t>
  </si>
  <si>
    <t>abigailmanuel217@hotmail,com</t>
  </si>
  <si>
    <t>Division de Certificaciones de Cargos</t>
  </si>
  <si>
    <t>Respuesta 311-1</t>
  </si>
  <si>
    <t>Enviar un correo informando que debe conctarse con el área de recursos humanos</t>
  </si>
  <si>
    <t>Se puede percibir mediante la carta suministrado por el ministerio, que su labor no es dependiente del ministerio</t>
  </si>
  <si>
    <t>El reclamante no puede acceder a la página de certificaciones de cargos</t>
  </si>
  <si>
    <t>Se retifica el url mediante vía electronica y/o enviar los documentos necesarios para realizar dicha solicitud de certificación de cargos</t>
  </si>
  <si>
    <t>Enviar un correo electrónico al reclamante con las soluciones pertenecientes</t>
  </si>
  <si>
    <t>División Certificaciones de Cargos</t>
  </si>
  <si>
    <t>Respuesta R15</t>
  </si>
  <si>
    <t>Respuesta  R16</t>
  </si>
  <si>
    <t>El reclamante expresa que la certificación no presenta el tiempo completo laborador en la institución</t>
  </si>
  <si>
    <t>Se informa que la nomina de la institución pasa por la Contraloría apartir del año 2014</t>
  </si>
  <si>
    <t xml:space="preserve">Se le envia un correo electrónico al reclamante informandole del acontesimiento </t>
  </si>
  <si>
    <t xml:space="preserve">El reclamante exigia que se le reconozca el tiempo de servicio en el ejercito </t>
  </si>
  <si>
    <t xml:space="preserve">La Contraloría General de la República no emite certificaciones de las entidades castrences </t>
  </si>
  <si>
    <t>No se emite correo, debido a que la persona no suminsitro medio de comunicación</t>
  </si>
  <si>
    <t>Null</t>
  </si>
  <si>
    <t>R17</t>
  </si>
  <si>
    <t>R18</t>
  </si>
  <si>
    <t>Rosa Gómez</t>
  </si>
  <si>
    <t>809-456-9617</t>
  </si>
  <si>
    <t>rosita2031@gmail.com</t>
  </si>
  <si>
    <t>Yngrd Lockward</t>
  </si>
  <si>
    <t>829-366-8681</t>
  </si>
  <si>
    <t>yele03@gmail.com</t>
  </si>
  <si>
    <t>Q12</t>
  </si>
  <si>
    <t>Martha Infante</t>
  </si>
  <si>
    <t>Solicitud de vacaciones</t>
  </si>
  <si>
    <t>El reclamante exigia que se le reconozca los 3 años de servicios prestados en el Ministerio de Cultura</t>
  </si>
  <si>
    <t>R19</t>
  </si>
  <si>
    <t>Marcela del Orben Rondon</t>
  </si>
  <si>
    <t>829-205-5393</t>
  </si>
  <si>
    <t>marceladelorbe83@gmail.com</t>
  </si>
  <si>
    <t>R20</t>
  </si>
  <si>
    <t>José García Martinez</t>
  </si>
  <si>
    <t>809-442-8808</t>
  </si>
  <si>
    <t>leonardogm778@gmail.com</t>
  </si>
  <si>
    <t>R21</t>
  </si>
  <si>
    <t>R22</t>
  </si>
  <si>
    <t>Corides Cuevas Perez</t>
  </si>
  <si>
    <t>829-771-0181</t>
  </si>
  <si>
    <t>cuevascorides@outlook.com</t>
  </si>
  <si>
    <t>Externo</t>
  </si>
  <si>
    <t>Juan Agripino Cueto</t>
  </si>
  <si>
    <t>R23</t>
  </si>
  <si>
    <t>Frantercons</t>
  </si>
  <si>
    <t>franterconsingenieria@gmail.com</t>
  </si>
  <si>
    <t>Consulta de Libramiento</t>
  </si>
  <si>
    <t>R24</t>
  </si>
  <si>
    <t>R25</t>
  </si>
  <si>
    <t xml:space="preserve">Scarlet Duran </t>
  </si>
  <si>
    <t>849-873-6794</t>
  </si>
  <si>
    <t>SCARLETG2038@gmail.com</t>
  </si>
  <si>
    <t>Giovanna Salvucci</t>
  </si>
  <si>
    <t>809-519-8319</t>
  </si>
  <si>
    <t>giovannasdh@gmail.com</t>
  </si>
  <si>
    <t>Se hablo con la persona vía telefónica y el reclamante habia expresado, que intento nuevamente y la plataforma le permitio proceder a realizar la solicitud</t>
  </si>
  <si>
    <t>N-a</t>
  </si>
  <si>
    <t>Respuesta R18</t>
  </si>
  <si>
    <t>Respuesta R19</t>
  </si>
  <si>
    <t>Respuesta R21</t>
  </si>
  <si>
    <t>Respuesta R22</t>
  </si>
  <si>
    <t>El reclamante expresa que se revise las fechas emitidas de la certificación de cargos</t>
  </si>
  <si>
    <t>La persona  no habia cargado la carga de trabajo de la institución correspondiente</t>
  </si>
  <si>
    <t>Se procede a enviarle un correo con la solución para llevar a cabo</t>
  </si>
  <si>
    <t xml:space="preserve">El reclamante expresa que no a podido tomar las vacaciones </t>
  </si>
  <si>
    <t>El reclamante expresaba que necesitaba una solicitud de certificaciones de cargos</t>
  </si>
  <si>
    <t xml:space="preserve">Se procedio a enviar un correo al reclamante </t>
  </si>
  <si>
    <t>Se enviar un correo al reclamante con el link para realizar una certificación de cargos</t>
  </si>
  <si>
    <t>Respuesta R14</t>
  </si>
  <si>
    <t xml:space="preserve">Ceritificación de Cargos </t>
  </si>
  <si>
    <t>El reclamane pide que se le actualize su certificación de Cargos</t>
  </si>
  <si>
    <t>Se envia un correo electrónico al reclamante con un link adjunto para solicitar una certificación de cargos</t>
  </si>
  <si>
    <t>Certificación de Cargos</t>
  </si>
  <si>
    <t>El reclamane pide que se le actualize las fechas de su certificación de Cargos</t>
  </si>
  <si>
    <t>No se produce solución de queja debido a que la persona no contesta los correos ni toma las llamadas telefónicas</t>
  </si>
  <si>
    <t>Se envia un correo electrónico con un link anexado para proceder a realizar la certificación de cargos</t>
  </si>
  <si>
    <t>Se le envia un correo electrónico para proceder a realizar una certificación de cargos</t>
  </si>
  <si>
    <t>Se le envia un correo electrónico para actualizar la certificación de cargos</t>
  </si>
  <si>
    <t>El reclame pide una solicitud de Certificaciones de Cargos</t>
  </si>
  <si>
    <t>R26</t>
  </si>
  <si>
    <t>Miguel Angel</t>
  </si>
  <si>
    <t>829-730-8288</t>
  </si>
  <si>
    <t>menamike@hotmail.com</t>
  </si>
  <si>
    <t>R27</t>
  </si>
  <si>
    <t>Maria Molina</t>
  </si>
  <si>
    <t>maria.molinab@minerd.gob.do</t>
  </si>
  <si>
    <t xml:space="preserve">Consulta de Libramiento </t>
  </si>
  <si>
    <t>El reclamante notifico que presentava problemas para acceder a la consulta de libramiento de proveedores</t>
  </si>
  <si>
    <t xml:space="preserve">Certificaciones de cargos </t>
  </si>
  <si>
    <t>Se le envia un correo electrónico explicando al reclamante que los tiempos se encuentran correctos</t>
  </si>
  <si>
    <t>Enviar un correo electrónico explicando la información respecto a la certitificación de cargos</t>
  </si>
  <si>
    <t>Respuesta R24</t>
  </si>
  <si>
    <t>Se procede a actualizar los datos con respecto a la certificación de cargos</t>
  </si>
  <si>
    <t>Se le envia la certificación de cargos por via de correo electrónico al reclamante</t>
  </si>
  <si>
    <t>Respuesta R25</t>
  </si>
  <si>
    <t>Q13</t>
  </si>
  <si>
    <t>Escarlen Ortiz</t>
  </si>
  <si>
    <t>908-472-678</t>
  </si>
  <si>
    <t>ortizescarlen1726@gmail.com</t>
  </si>
  <si>
    <t>El reclamante especifica que habia solicitado una certificación hace dos meses y no recibido respuest</t>
  </si>
  <si>
    <t xml:space="preserve">Se preve en el sistema que el reclamante no habia solicitado la certificación de cargos </t>
  </si>
  <si>
    <t>Q14</t>
  </si>
  <si>
    <t>809-603-4449</t>
  </si>
  <si>
    <t>Servicio de Transportación</t>
  </si>
  <si>
    <t>Sección de Transportación</t>
  </si>
  <si>
    <t>Servicios de Comida</t>
  </si>
  <si>
    <t>Q15</t>
  </si>
  <si>
    <t>Servicios de comida</t>
  </si>
  <si>
    <t>R28</t>
  </si>
  <si>
    <t xml:space="preserve">Francis N. Plasencia Medida </t>
  </si>
  <si>
    <t xml:space="preserve">francis.plasencia@gmail.com </t>
  </si>
  <si>
    <t>R29</t>
  </si>
  <si>
    <t>josé Narciso Bautista Ureña</t>
  </si>
  <si>
    <t>829-962-4279</t>
  </si>
  <si>
    <t>bautistanarci@gmail.com</t>
  </si>
  <si>
    <t xml:space="preserve">Certificaciones de Cargos </t>
  </si>
  <si>
    <t>R30</t>
  </si>
  <si>
    <t>Elias Antonio Reynoso Casado</t>
  </si>
  <si>
    <t>Elianilreynoso84@gmail.com</t>
  </si>
  <si>
    <t>Vianela Burgos</t>
  </si>
  <si>
    <t>809-869-1959</t>
  </si>
  <si>
    <t>849-633-7302</t>
  </si>
  <si>
    <t>Se le notifica al reclamante via correo electrónico que las instituciones que envió no se certifican por la Contraloría</t>
  </si>
  <si>
    <t>Respuesta 26</t>
  </si>
  <si>
    <t xml:space="preserve">El reclamante no pudo subir los archivos para realizar la certificación </t>
  </si>
  <si>
    <t>Se procedio a solicitar los datos correspondiente a la certificaciones de cargo y canalizarla al área correspondiente para su elaboración</t>
  </si>
  <si>
    <t>Se envio un correo electrónico al reclamante, notificandole que la certificación estaba finalizada}</t>
  </si>
  <si>
    <t xml:space="preserve">Servicio de Transportación </t>
  </si>
  <si>
    <t xml:space="preserve">El reclamante expreso que el servicio de transporte se retraso a la hora establecida en la que la pasaria a buscar, asi tambien en la hora para que las personas fuesen recogidas de la actividad </t>
  </si>
  <si>
    <t>Se le sostuvo una reunión con la sección de transportación, donde se reitero que el chofer fue una serie de veces y no se encontraba el personal del piso 11</t>
  </si>
  <si>
    <t>Se produjo una acción de mejora de parte de la Sección de Transportación, la cual llamaba a reunión para mitigar los problemas con respecto al transporte</t>
  </si>
  <si>
    <t>Respuesta Q14</t>
  </si>
  <si>
    <t>Respuesta R27</t>
  </si>
  <si>
    <t xml:space="preserve">Servicio de Comida </t>
  </si>
  <si>
    <t>El reclamante expresa que el las variades de restaurante disponibles es poca, que deberia de tener más, asi como en la sede</t>
  </si>
  <si>
    <t>Se transmite el comunicado a la Direción Administrativa Financiera, la misma comunica que las variedades depende de la capacidad de los colaboradores que disposnga dicha estructura física, por lo cual solo habia 1 restaurante a disposición-</t>
  </si>
  <si>
    <t>Se envia comunicado  a los distribuidores para añadir más opciones de restaurante.</t>
  </si>
  <si>
    <t xml:space="preserve">Servicios de comida </t>
  </si>
  <si>
    <t>Q15 Acción Correctiva</t>
  </si>
  <si>
    <t>El reclamante pide que se actualice los datos con respecto a la certificación de cargos</t>
  </si>
  <si>
    <t>Se canaliza la información con el área correspondiente para la actualización de la certificación de cargos</t>
  </si>
  <si>
    <t>Se le notifica por via de correo electrónico que la solicitud ya ha sido actualizada.</t>
  </si>
  <si>
    <t xml:space="preserve">El reclamante expresa que no las fechas no coinciden </t>
  </si>
  <si>
    <t>Se observa que independientemente de la carga de sobre la cantidad de solicitud de vacaciones de los colaboradores, esta fue aprobada en un periodo laborable de 2 dias.</t>
  </si>
  <si>
    <t>La dirección de Recursos Humanos expresa vía correo electrónico, que su solicitud fue aprobada</t>
  </si>
  <si>
    <t>Q12 Acción Correctiva</t>
  </si>
  <si>
    <t>Género</t>
  </si>
  <si>
    <t>Masculino</t>
  </si>
  <si>
    <t>Femenino</t>
  </si>
  <si>
    <t>R31</t>
  </si>
  <si>
    <t xml:space="preserve">Juan Arismendy Castillo Franco </t>
  </si>
  <si>
    <t>829-883-2671</t>
  </si>
  <si>
    <t>escuelaprimarialacienaga@hotmail.com</t>
  </si>
  <si>
    <t xml:space="preserve">Masculino </t>
  </si>
  <si>
    <t>R32</t>
  </si>
  <si>
    <t>R33</t>
  </si>
  <si>
    <t>Lourdes Pérez Carrasco</t>
  </si>
  <si>
    <t>829-798-3558</t>
  </si>
  <si>
    <t>sandraperezcarrasco@hotmail.com</t>
  </si>
  <si>
    <t>Q16</t>
  </si>
  <si>
    <t>R34</t>
  </si>
  <si>
    <t>Jose del Rosario Belen</t>
  </si>
  <si>
    <t>829-585-1908</t>
  </si>
  <si>
    <t>suleidyrosario08@gmail.com</t>
  </si>
  <si>
    <t>Rosa Iris Concepción</t>
  </si>
  <si>
    <t>yuliannyconcepcion@gmail.com</t>
  </si>
  <si>
    <t>829-968-6878</t>
  </si>
  <si>
    <t>R35</t>
  </si>
  <si>
    <t>Maria Idalia Guerrero Padua</t>
  </si>
  <si>
    <t>R36</t>
  </si>
  <si>
    <t>829-349-2014</t>
  </si>
  <si>
    <t>mariaidaliaguerrero@gmail.com</t>
  </si>
  <si>
    <t>R37</t>
  </si>
  <si>
    <t>Q17</t>
  </si>
  <si>
    <t>NA</t>
  </si>
  <si>
    <t>Anónimo</t>
  </si>
  <si>
    <t>Rafael Adriano Sanchez Espinal</t>
  </si>
  <si>
    <t>809-226-0003</t>
  </si>
  <si>
    <t>infooliverroosevelt@gmail.com</t>
  </si>
  <si>
    <t>María Elisa Vergez</t>
  </si>
  <si>
    <t>R38</t>
  </si>
  <si>
    <t>809-697-5460</t>
  </si>
  <si>
    <t>elisamariott@gmail.com</t>
  </si>
  <si>
    <t>R39</t>
  </si>
  <si>
    <t>R40</t>
  </si>
  <si>
    <t>Yasmily Moran</t>
  </si>
  <si>
    <t>829-447-7979</t>
  </si>
  <si>
    <t>yasmilicm@hotmail.com</t>
  </si>
  <si>
    <t>R41</t>
  </si>
  <si>
    <t>Rosmery Méndez</t>
  </si>
  <si>
    <t>829-860-2062</t>
  </si>
  <si>
    <t>mendezrosmery12@gmail.com</t>
  </si>
  <si>
    <t>sjesurum@hotmail.com</t>
  </si>
  <si>
    <t>S02</t>
  </si>
  <si>
    <t>Cesar Jesurum</t>
  </si>
  <si>
    <t>829-943-1002</t>
  </si>
  <si>
    <t>R42</t>
  </si>
  <si>
    <t>809-516-6309</t>
  </si>
  <si>
    <t>nurysjabreu@hotmail.com</t>
  </si>
  <si>
    <t>R43</t>
  </si>
  <si>
    <t>809-516-6310</t>
  </si>
  <si>
    <t>Griseida Encarnación</t>
  </si>
  <si>
    <t>R44</t>
  </si>
  <si>
    <t>griseidaencarnacionfeliz@gmail.com</t>
  </si>
  <si>
    <t>849-861-2645</t>
  </si>
  <si>
    <t>S03</t>
  </si>
  <si>
    <t>Rafael Reyes Torres</t>
  </si>
  <si>
    <t>809-876-1514</t>
  </si>
  <si>
    <t>rafirey59@hotmail.com</t>
  </si>
  <si>
    <t>Pedro Ruben De La Cruz Tejada</t>
  </si>
  <si>
    <t>R45</t>
  </si>
  <si>
    <t>loliya7@hotmail.com</t>
  </si>
  <si>
    <t>809-493-7212</t>
  </si>
  <si>
    <t>Sección de Mayordomía</t>
  </si>
  <si>
    <t>Servicio de Mayordomía</t>
  </si>
  <si>
    <t>R46</t>
  </si>
  <si>
    <t>Elvira Aquino Mercedes</t>
  </si>
  <si>
    <t>809-815-7051</t>
  </si>
  <si>
    <t>eaquino@idiaf.gov.do</t>
  </si>
  <si>
    <t>Q18</t>
  </si>
  <si>
    <t>R47</t>
  </si>
  <si>
    <t>Olga Vianela Rodriguez</t>
  </si>
  <si>
    <t>Mary Concepción Abreu Pérez De Cedeño</t>
  </si>
  <si>
    <t>R48</t>
  </si>
  <si>
    <t>R49</t>
  </si>
  <si>
    <t>809-707-4210</t>
  </si>
  <si>
    <t>dra.abreu08@gmail.com</t>
  </si>
  <si>
    <t xml:space="preserve">Nivel del 
Riesgo  </t>
  </si>
  <si>
    <t>No.</t>
  </si>
  <si>
    <t>El caso fue cerrado porque la reclamante no estableció un medio de contacto.</t>
  </si>
  <si>
    <t>Yuberki Suriel</t>
  </si>
  <si>
    <t>Q19</t>
  </si>
  <si>
    <t>S04</t>
  </si>
  <si>
    <t>R50</t>
  </si>
  <si>
    <t>Roderson Marte</t>
  </si>
  <si>
    <t>809-580-0038</t>
  </si>
  <si>
    <t>rmarte@intabaco.gob.do</t>
  </si>
  <si>
    <t>Sistema TRE</t>
  </si>
  <si>
    <t>Mesa de Ayuda</t>
  </si>
  <si>
    <t>Relaciones Laborales</t>
  </si>
  <si>
    <t>José Narciso Bautista Ureña</t>
  </si>
  <si>
    <t>El reclamante indica que su fecha de entrada a la institución donde labora no coincide con la expuesta en su certificación de cargo.</t>
  </si>
  <si>
    <t>Se canaliza la información con el área correspondiente para solicitar la actualización de su certificación de cargos.</t>
  </si>
  <si>
    <t>Se le notificó vía correo al reclamante que su certificación de cargos fue actualizada.</t>
  </si>
  <si>
    <t>El reclamante solicitó una actualización en su certificación de cargo.</t>
  </si>
  <si>
    <t>Se le notificó por teléfono al reclamante que su certificación de cargos fue actualizada.</t>
  </si>
  <si>
    <t>El reclamante solicitó una corrección en su certificación de cargo.</t>
  </si>
  <si>
    <t>Se le notificó vía correo que la corrección no puede ser realizada, debido a que la debido a que la CGR empieza a recibir su nómina a partir del 2014.</t>
  </si>
  <si>
    <t>La reclamante solicitó una certificación de cargos para fines de pensión.</t>
  </si>
  <si>
    <t>Se le notificó vía correo a la reclamante que debe realizar la solicitud de su certificación de cargo a través de nuestro portal web.</t>
  </si>
  <si>
    <t>El reclamante no pudo subir los archivos para realizar la certificación.</t>
  </si>
  <si>
    <t>El reclamante expresa que se revise las fechas emitidas de la certificación de cargos.</t>
  </si>
  <si>
    <t>El reclamane pide que se le actualize las fechas de su certificación de cargos.</t>
  </si>
  <si>
    <t>Se redireccionó la reclamación a la institución correspondiente.</t>
  </si>
  <si>
    <t>Se le notificó vía correo al reclamante que su reclamación debe ser dirigida hacia la institución correspondiente.</t>
  </si>
  <si>
    <t>La reclamante solicitó la convalidación de los años trabajados anteriores.</t>
  </si>
  <si>
    <t>El reclamante se equivocó de institución al realizar su reclamación.</t>
  </si>
  <si>
    <t>La reclamante se equivocó de institución al realizar su reclamación.</t>
  </si>
  <si>
    <t>La reclamante solicitó una corrección en su certificación de cargo.</t>
  </si>
  <si>
    <t>El reclamante solicitó una actualización en la fecha de expedición de su certificación de cargo.</t>
  </si>
  <si>
    <t>Se le notificó al reclamante vía correo que debe hacer la solicitud a través de nuestro portal web.</t>
  </si>
  <si>
    <t>La reclamante solicitó una correción en la certificación de cargo del Sr. Carlos Rodríguez.</t>
  </si>
  <si>
    <t>Se le notificó a la reclamante vía correo que la corrección fue realizada.</t>
  </si>
  <si>
    <t>La reclamante solicitó agregar su período laborado en el Gabinete de Políticas Sociales en su certificación de cargo.</t>
  </si>
  <si>
    <t>Se le notificó a la reclamante vía correo que no es posible proceder con la inclusión de su tiempo laborado en esa institución porque la misma no es certificada por la CGR.</t>
  </si>
  <si>
    <t>La reclamante solició una correción en su certificación de cargo.</t>
  </si>
  <si>
    <t>Se le notificó a la reclamante vía correo que la corrección no puede ser realizada, debido a que la CGR empieza a recibir su nómina a partir del 2013.</t>
  </si>
  <si>
    <t>Se le notificó a la reclamante vía correo que la corrección no puede ser realizada, debido a que la CGR empieza a recibir su nómina a partir del 2008.</t>
  </si>
  <si>
    <t>Se le notificó a la reclamante vía correo que para proceder con la convalidación, debe realizar una solicitud a través de nuestro portal web.</t>
  </si>
  <si>
    <t>El reclamante solició una actualización en su certificación de cargo.</t>
  </si>
  <si>
    <t>La reclamante solicitó una actualización en su ceritifcación de cargo.</t>
  </si>
  <si>
    <t>El reclamante solicitó una corrección en su salario plasmado en su certificación de cargo.</t>
  </si>
  <si>
    <t>Se le notificó al reclamante vía correo que debe realizar nueamente la solicitud a través de nuestro portal web.</t>
  </si>
  <si>
    <t>El reclamante solicitó una actualización en su ceritifcación de cargo.</t>
  </si>
  <si>
    <t>La reclamante solicitó una corrección en su ceritifcación de cargo.</t>
  </si>
  <si>
    <t>Se le notificó a la reclamante vía correo las razones por las cuales no se pueden realizar las correcciones solicitadas en su certificación de cargo.</t>
  </si>
  <si>
    <t>Se le notificó a la reclamante vía correo que las correcciones fueron realizadas.</t>
  </si>
  <si>
    <t>El reclamante exigio que se le reconozca el tiempo de servicio en el ejercito.</t>
  </si>
  <si>
    <t>El reclamante explica que el personal que pertenece a la CGR de la ruta Villa Mella se está llendo parada porque existe personal de otras instituciones que también se está llendo en dicha ruta.</t>
  </si>
  <si>
    <t>El reclamante indica que hay una persona en la División de Certificaciones de Cargos que sostiene un "amorío" con un colaborador de la misma, lo cual impacta negativamente en el desarrollo de sus actividades diarias en la división.</t>
  </si>
  <si>
    <t>El reclamante indica que no está recibiendo agua potable y tiene que comprarla con sus propios recursos.</t>
  </si>
  <si>
    <t>El reclamante expresó que tuvo problemas para accesar al sistema TRE.</t>
  </si>
  <si>
    <t>Se canaliza la información con el área correspondiente.</t>
  </si>
  <si>
    <t>El reclamante recibió asistencia por teléfono de parte de Mesa de Ayuda.</t>
  </si>
  <si>
    <t>La Contraloría General de la República no emite certificaciones de las entidades castrences.</t>
  </si>
  <si>
    <t>El reclamante indicó que tiene dos nombramientos en su certificación de cargo.</t>
  </si>
  <si>
    <t>Se canaliza la información con el área correspondiente para solicitar la corrección de su certificación de cargos.</t>
  </si>
  <si>
    <t>Se le notificó vía correo al reclamante que en la base de datos de la CGR figura que en noviembre del 2013 estuvo ejerciendo otro cargo en el mismo ministerio.</t>
  </si>
  <si>
    <t>El reclamante expresaba que necesitaba una solicitud de certificaciones de cargos.</t>
  </si>
  <si>
    <t>Se procedio a enviar un correo al reclamante.</t>
  </si>
  <si>
    <t>Se retifica el url mediante vía electronica y/o enviar los documentos necesarios para realizar dicha solicitud de certificación de cargos.</t>
  </si>
  <si>
    <t>Se puede percibir mediante la carta suministrado por el ministerio, que su labor no es dependiente del ministerio.</t>
  </si>
  <si>
    <t xml:space="preserve">La reclamante indicó que estuvo teniendo problemas para enviar la solicitud de certificación de cargo a través del portal web. </t>
  </si>
  <si>
    <t>El reclamante extendió felicitaciones y agradecimientos por el servicio rápido y eficiente que le fue ofrecido.</t>
  </si>
  <si>
    <t>Total general</t>
  </si>
  <si>
    <t xml:space="preserve">Fecha de </t>
  </si>
  <si>
    <t>Fecha Límite</t>
  </si>
  <si>
    <t>Fecha de Inicio</t>
  </si>
  <si>
    <t>Estatus</t>
  </si>
  <si>
    <t>El reclamante explicó que ha recibido un pésimo servicio de entrega de correspondencia.</t>
  </si>
  <si>
    <t>La reclamante exigió más colaboración, respeto mutuo y disciplina  entre todos los colaboradores de la institución.</t>
  </si>
  <si>
    <t>Se le comunicó al reclamante que no se puede proceder con la validación, debido a que el reclamante no está registrado en la nómina pública.</t>
  </si>
  <si>
    <t>Comunicarse con el reclamante para atender su reclamación.</t>
  </si>
  <si>
    <t>El reclamante explicó que necesita la validació de sus años de servicio en el Instituto Nacional de Bienestar Magisterial.</t>
  </si>
  <si>
    <t>Enviar un mensaje al reclamante, requiriendo más información para indagar la situación que se presenta</t>
  </si>
  <si>
    <t>La certificación de ordenes de pago, no figura en el sistema de pagos.</t>
  </si>
  <si>
    <t>Se le notificó vía correo al reclamante que en  la base de datos de la CGR no  figura ninguna autorización de ordenes de pago vinculada a sus datos y se le comunicó que debe contactar a la institución con quién realizó el proceso.</t>
  </si>
  <si>
    <t xml:space="preserve">Relaciones Laborales </t>
  </si>
  <si>
    <t>La reclamante solicitó información respecto al pago de la deuda del Hospital Marcelino Velez Santana entre 2016 y 2018.</t>
  </si>
  <si>
    <t>La reclamante solicitó una verificación en la fecha de ingreso a sus labores plasmada en su certificación de cargo.</t>
  </si>
  <si>
    <t>Se canaliza la información con el área correspondiente para solicitar la verificación de su certificación de cargos.</t>
  </si>
  <si>
    <t>Se le notificó vía correo que la corrección no puede ser realizada, debido a que la CGR empieza a recibir su nómina a partir del 2014.</t>
  </si>
  <si>
    <t>Se le notificó vía correo al reclamante que la corrección no puede ser realizada, debido a que la CGR empieza a recibir su nómina a partir del 2014.</t>
  </si>
  <si>
    <t>Días restantes</t>
  </si>
  <si>
    <t>Año</t>
  </si>
  <si>
    <t>All</t>
  </si>
  <si>
    <t>Etiquetas de fila</t>
  </si>
  <si>
    <t>Reclamación</t>
  </si>
  <si>
    <t>Sugerencia</t>
  </si>
  <si>
    <t>Recuento de Tipo de Registro</t>
  </si>
  <si>
    <t>2023</t>
  </si>
  <si>
    <t>Tipo de Registro</t>
  </si>
  <si>
    <t>Tipo</t>
  </si>
  <si>
    <t>Cantidad</t>
  </si>
  <si>
    <t>Total</t>
  </si>
  <si>
    <t>Porciento</t>
  </si>
  <si>
    <t>Etiquetas de columna</t>
  </si>
  <si>
    <t xml:space="preserve">Cuenta de  Tipo de Registro  </t>
  </si>
  <si>
    <t>311-5</t>
  </si>
  <si>
    <t>311-6</t>
  </si>
  <si>
    <t>311-7</t>
  </si>
  <si>
    <t>Julissa Geraldo</t>
  </si>
  <si>
    <t>(849) 289-1629</t>
  </si>
  <si>
    <t>jullietts32@gmail.com</t>
  </si>
  <si>
    <t>Auditoría Interna Gubernamental</t>
  </si>
  <si>
    <t>(829) 725-5455</t>
  </si>
  <si>
    <t>taxationandfinancedepartament@outlook.es</t>
  </si>
  <si>
    <t>R51</t>
  </si>
  <si>
    <t>La reclamante se equivocó de institución al realizar su sugerencia.</t>
  </si>
  <si>
    <t>Redireccionar a la Dirección General de Impuestos Internos.</t>
  </si>
  <si>
    <t>Redireccionar a la Dirección General de Presupuesto.</t>
  </si>
  <si>
    <t>Trimestre</t>
  </si>
  <si>
    <t>Días CGR</t>
  </si>
  <si>
    <t>Cumplimiento</t>
  </si>
  <si>
    <t>A tiempo</t>
  </si>
  <si>
    <t>|</t>
  </si>
  <si>
    <t>Se implementará formulario para consumo de agua por área.
Se estará verificando y supervisando el consumo de agua para garantizar el reabastecimiento.</t>
  </si>
  <si>
    <t>Realizar levantamiento de consumo de agua en botellitas y botellones por área.
Asignar supervisor para monitoreo del estatus del agua.</t>
  </si>
  <si>
    <t>Departamento Administrativo
División de Servicios Generales
Sección de Mayordomía</t>
  </si>
  <si>
    <t>Departamento Administrativo
División de Servicios Generales
Sección de Transportación</t>
  </si>
  <si>
    <t>Actualización de la demanda de las rutas colectivas.
Crear políticas para uso del transporte colectivo de la institución y gestionar aprobación y oficialización.
Asignar Supervisor</t>
  </si>
  <si>
    <t>Realizar mesa de trabajo con las partes interesadas.
Enviar políica a DPD para aprobación.
El supervisior se encargará de solicitar el carnet  institucional a los colaboradores, al momento de abordar el autobus.</t>
  </si>
  <si>
    <t>Escalar el caso a la Dirección de Recursos Humanos.</t>
  </si>
  <si>
    <t xml:space="preserve">Se le notificó vía correo a la reclamante para que suministre al información faltante paa proceder con su certificación. </t>
  </si>
  <si>
    <t>La plataforma de Certificaciones de Cargos, no le permitia a la reclamante proceder con la emisión de la certificación</t>
  </si>
  <si>
    <t xml:space="preserve">Departamento Administrativo                         
Sección Mayordomía                          
Servicios Generales                    
Dirección de Recursos Humanos                                                  Dirección de Comunicaciones </t>
  </si>
  <si>
    <t>Se procede a canalizar el caso a área correspondiente.</t>
  </si>
  <si>
    <t>Se le notificó vía correo a la reclamante que el URL solo funciona a nivel nacional por motivos de seguridad y que puede comunicar a un familiar cercano para la emisión de la Certificación en el MINERD, el mismo puede realizar la certificación de cargos.</t>
  </si>
  <si>
    <t>R52</t>
  </si>
  <si>
    <t>Mayordomía</t>
  </si>
  <si>
    <t>Q20</t>
  </si>
  <si>
    <t>Milagros Del Carmen Gutiérrez Cabral</t>
  </si>
  <si>
    <t>829-423-8288</t>
  </si>
  <si>
    <t>ingridydelarosamalena@gmail.com</t>
  </si>
  <si>
    <t>R53</t>
  </si>
  <si>
    <t>T3</t>
  </si>
  <si>
    <t>Marixa Ramona De Vargas</t>
  </si>
  <si>
    <t>809-678-0060</t>
  </si>
  <si>
    <t>franalvcas062@gmail.com</t>
  </si>
  <si>
    <t>R54</t>
  </si>
  <si>
    <t>Maria Estela García</t>
  </si>
  <si>
    <t>809-815-3793</t>
  </si>
  <si>
    <t>mariestela77alcala@gmail.com</t>
  </si>
  <si>
    <t>Se le notificó a la reclamante vía correo que debe hacer la solicitud a través de nuestro portal web.</t>
  </si>
  <si>
    <t>Se le notificó a la reclamante vía telefónica las razones por las cuales no se pueden realizar las correcciones solicitadas en su certificación de cargo.</t>
  </si>
  <si>
    <t>El reclamante indica que las oficinas de su área no son limpiadas de manera periódica.</t>
  </si>
  <si>
    <t>Limpieza de oficina y termo de café de manera periódica.</t>
  </si>
  <si>
    <t>Crear un cronograma de limpieza e higienización de los utensilios de cocina y limpieza.</t>
  </si>
  <si>
    <t>El director de Recursos Humanos se reunió con la persona implicada para socializar el caso.</t>
  </si>
  <si>
    <t>R55</t>
  </si>
  <si>
    <t>Marlen Mendez Salcedo</t>
  </si>
  <si>
    <t>marlenmendezsalcedo@gmail.com</t>
  </si>
  <si>
    <t>R56</t>
  </si>
  <si>
    <t xml:space="preserve">Andrés Feliz Adames </t>
  </si>
  <si>
    <t>kmel3929f@gmail.com</t>
  </si>
  <si>
    <t>R57</t>
  </si>
  <si>
    <t>Femenido</t>
  </si>
  <si>
    <t>Gracia Lourdes Guerrero Feliz</t>
  </si>
  <si>
    <t>809-958-3491</t>
  </si>
  <si>
    <t>gracialourdesguerrerofeliz@gmail.com</t>
  </si>
  <si>
    <t>R58</t>
  </si>
  <si>
    <t>R59</t>
  </si>
  <si>
    <t>R60</t>
  </si>
  <si>
    <t>Ana Elia Luciano de leon de ortiz</t>
  </si>
  <si>
    <t>809-816-4858</t>
  </si>
  <si>
    <t>809-816-4857</t>
  </si>
  <si>
    <t>lucianodeleon67@gmail.com</t>
  </si>
  <si>
    <t>Estrella Disla</t>
  </si>
  <si>
    <t>829-333-1940</t>
  </si>
  <si>
    <t>iestrelladisla@gmail.com</t>
  </si>
  <si>
    <t>R61</t>
  </si>
  <si>
    <t>R62</t>
  </si>
  <si>
    <t>Fermin Hernández</t>
  </si>
  <si>
    <t>Rommel Santos Diaz</t>
  </si>
  <si>
    <t>849-214-9259</t>
  </si>
  <si>
    <t>rommelsantos09@yahoo.com</t>
  </si>
  <si>
    <t>ferminhernandez1277@gmail.com</t>
  </si>
  <si>
    <t>El reclamante solicitó una corrección en su ceritifcación de cargo.</t>
  </si>
  <si>
    <t>La reclamante solicitó que le sean certificados sus años laborados en la Dirección Central de Servicio Nacional de Salud.</t>
  </si>
  <si>
    <t>Se le notificó a la reclamante vía correo que esa institución no es certificada por la Contraloría General de la República.</t>
  </si>
  <si>
    <t xml:space="preserve">Se le notificó a la reclamante que la Contraloría General de la República comenzó a recibir la nómina del Consejo Nacional de Drogas a partir del año 2014, por lo que no se le pudo hacer la corrección solicitada. </t>
  </si>
  <si>
    <t>Se le notificó al reclamante vía correo que esa institución no es certificada por la Contraloría General de la República.</t>
  </si>
  <si>
    <t>La reclamante solicitó que le sean certificados sus años laborados en el Hospital Semma.</t>
  </si>
  <si>
    <t>Se le notificó al reclamante que la corrección no procede porque la Contraloría General de la República comenzó a recibir la nómina del Fondo Nacional para el Medio Ambiente y Recursos Naturales a partir de agosto del 2018.</t>
  </si>
  <si>
    <t>R63</t>
  </si>
  <si>
    <t>Ardelis Hernández</t>
  </si>
  <si>
    <t>849-658-6856</t>
  </si>
  <si>
    <t>ardelish@gmail.com</t>
  </si>
  <si>
    <t>R64</t>
  </si>
  <si>
    <t>subdireccionpecuarialavega@hotmail.com</t>
  </si>
  <si>
    <t>809-697-8326</t>
  </si>
  <si>
    <t>Milady Concepción Camilo</t>
  </si>
  <si>
    <t>R65</t>
  </si>
  <si>
    <t>809-697-8327</t>
  </si>
  <si>
    <t>nmartinez@ganaderia.gob.do</t>
  </si>
  <si>
    <t>Q21</t>
  </si>
  <si>
    <t>Baños sin agua</t>
  </si>
  <si>
    <t>La reclamante solicitó una corrección en la certificación de cargos de la Sra. Milady Altagracia Camilo.</t>
  </si>
  <si>
    <t>Se le notificó a la reclamante que la corrección no procede porque su primer registro en la nómina fija de la Dirección General de Ganadería fue a partir de la fecha emitida en su certificación de cargos.</t>
  </si>
  <si>
    <t>Q22</t>
  </si>
  <si>
    <t xml:space="preserve">Avería de tuberías de agua en el edificio de Oficinas Gubernamentales (Huacal), que ocurrió el sábado 16 de septiembre </t>
  </si>
  <si>
    <t>Se contactó al plomero del Edificio de Oficinas Gubernamentales para reportar inconvenientes y buscar soluciones.</t>
  </si>
  <si>
    <t>Se instalará una llave de paso para subsanar el incidente y evitar que el piso 11 de esta Contraloría se vea afectado en caso de una avería.</t>
  </si>
  <si>
    <t>División de Servicios Generales</t>
  </si>
  <si>
    <t>R66</t>
  </si>
  <si>
    <t>R67</t>
  </si>
  <si>
    <t>José Rodolfo Rodriguez Mejia</t>
  </si>
  <si>
    <t>amrslalo@yahoo.com</t>
  </si>
  <si>
    <t>829-491-1000</t>
  </si>
  <si>
    <t>melaniaperdomo1961@gmail.com</t>
  </si>
  <si>
    <t>Melania Perdomo</t>
  </si>
  <si>
    <t>829-371-5136</t>
  </si>
  <si>
    <t>El reclamante solicitó una corrección en su certificación de cargos.</t>
  </si>
  <si>
    <t>La reclamante indica que desa hacer una solicitud de certificación de cargos y es desetimada porque ha realizado otra recientemente.</t>
  </si>
  <si>
    <t>El reclamante indica que su ruta de transporte fue modificada y está llegando más tarde a su hogar.</t>
  </si>
  <si>
    <t>Se le remitó la certificación y se le informó a la reclamante que su solicitud fue desestimada porque la certificación que le fue emitida con anterioridad aún está vigente para cualquier trámite que requiera ejecutar.</t>
  </si>
  <si>
    <t>Se le solicitó al reclamante el número de libramiento y RNC.</t>
  </si>
  <si>
    <t>El caso fue cerrado porque el reclamante no respondio al correo de solicitud de los datos correspondientes.</t>
  </si>
  <si>
    <t>Autorización de Órdenes de Pago</t>
  </si>
  <si>
    <t>Se le notificó a la reclamante vía telefónica que se equivocó de institución al hacer la solicitud.</t>
  </si>
  <si>
    <t>La reclamante solicitó información respecto al pago de la deuda deuda pendiente con la OISOE desde el 2017.</t>
  </si>
  <si>
    <t>La reclamante brindo varias sugerencias de automatización que podrían faciliatar los procesos de auditoria en las Unidades de Auditoria Interna Gubernamental.</t>
  </si>
  <si>
    <t>0</t>
  </si>
  <si>
    <t>1</t>
  </si>
  <si>
    <t>2</t>
  </si>
  <si>
    <t>3</t>
  </si>
  <si>
    <t>4</t>
  </si>
  <si>
    <t>5</t>
  </si>
  <si>
    <t>Se le notificó a la reclamante que la corrección no procede porque su primer registro en la nómina fija en OPRET fue a partir de la fecha emitida en su certificación de cargos.</t>
  </si>
  <si>
    <t>R68</t>
  </si>
  <si>
    <t>R69</t>
  </si>
  <si>
    <t>Pablo Khouri</t>
  </si>
  <si>
    <t>809-430-3568</t>
  </si>
  <si>
    <t>prkhouri@sistec.com.do</t>
  </si>
  <si>
    <t>Fuente</t>
  </si>
  <si>
    <t>Alcibiades Adalberto Mena Campos</t>
  </si>
  <si>
    <t>lauramariaupiabautista@gmail.com</t>
  </si>
  <si>
    <t>829-795-0596</t>
  </si>
  <si>
    <t>809-878-5349</t>
  </si>
  <si>
    <t>Laura Bautista</t>
  </si>
  <si>
    <t>S05</t>
  </si>
  <si>
    <t>El reclamante desea solicitar nuevamentee, la emitisión de una certificación laboral para fines de jubilación actualizada, ya que me suministraron una el año 2022 y no sé si me pueda ocasionar contratiempos en el expediente al no estar actualizada.</t>
  </si>
  <si>
    <t>Se identificó que el reclamante había estado descargando una versión desactualizada de su certificación de cargos y se le remitió nuevamente por correo la versión actualizada.</t>
  </si>
  <si>
    <t>La reclamante desea hacer una certificacion de cargos por liquidacion, ya que anteriormente habia solicitado por equivocacion la opcion de validacion de tiempo en el estado y la plataforma no le permite realizar otra certificación.</t>
  </si>
  <si>
    <t>Se le explica a la reclamante que puede utilizar la misma certificaión emitida con fines de validación de tiempo en el estado, para el proceso de liquidación.</t>
  </si>
  <si>
    <t>El reclamante indica que tiene el libramiento #5445 “en Proceso” desde el día 10 de Agosto-2023.</t>
  </si>
  <si>
    <t>alcibiadesmena@gmail.com</t>
  </si>
  <si>
    <t>No laborable</t>
  </si>
  <si>
    <t>Se le informó al reclamante que se identificó un error en la clasificación del gasto del libramiento y que fue devuelto al MOPC el 17/08/2023 para la subsanación del error.</t>
  </si>
  <si>
    <t>Autorización de Ordenes de pago</t>
  </si>
  <si>
    <t>2022</t>
  </si>
  <si>
    <t>10</t>
  </si>
  <si>
    <t>15</t>
  </si>
  <si>
    <t>Reportes trimestrales de reclamaciones, quejas y sugerencias 2022-EXTERNAS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</si>
</sst>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11"/>
      <color theme="1"/>
      <name val="Calibri"/>
      <family val="2"/>
      <scheme val="minor"/>
    </font>
    <font>
      <b/>
      <sz val="12"/>
      <color theme="0"/>
      <name val="Artifex CF Extra Light"/>
      <family val="3"/>
    </font>
    <font>
      <b/>
      <sz val="11"/>
      <color theme="0"/>
      <name val="Artifex CF Extra Light"/>
      <family val="3"/>
    </font>
    <font>
      <sz val="11"/>
      <color theme="1"/>
      <name val="Artifex CF Extra Light"/>
      <family val="3"/>
    </font>
    <font>
      <b/>
      <sz val="11"/>
      <name val="Artifex CF Extra Light"/>
      <family val="3"/>
    </font>
    <font>
      <u/>
      <sz val="11"/>
      <color theme="10"/>
      <name val="Calibri"/>
      <family val="2"/>
      <scheme val="minor"/>
    </font>
    <font>
      <sz val="10"/>
      <color theme="1"/>
      <name val="Calibri"/>
      <family val="2"/>
      <scheme val="minor"/>
    </font>
    <font>
      <sz val="11"/>
      <color theme="0"/>
      <name val="Calibri"/>
      <family val="2"/>
      <scheme val="minor"/>
    </font>
    <font>
      <sz val="8"/>
      <name val="Calibri"/>
      <family val="2"/>
      <scheme val="minor"/>
    </font>
    <font>
      <sz val="10"/>
      <color rgb="FF333E48"/>
      <name val="Arial"/>
      <family val="2"/>
    </font>
    <font>
      <b/>
      <sz val="9"/>
      <color indexed="81"/>
      <name val="Tahoma"/>
      <family val="2"/>
    </font>
    <font>
      <sz val="9"/>
      <color indexed="81"/>
      <name val="Tahoma"/>
      <family val="2"/>
    </font>
    <font>
      <sz val="11"/>
      <name val="Calibri"/>
      <family val="2"/>
      <scheme val="minor"/>
    </font>
    <font>
      <b/>
      <sz val="11"/>
      <color theme="0"/>
      <name val="Calibri"/>
      <family val="2"/>
      <scheme val="minor"/>
    </font>
    <font>
      <sz val="11"/>
      <color theme="1"/>
      <name val="Calibri"/>
      <family val="2"/>
      <scheme val="minor"/>
    </font>
    <font>
      <b/>
      <sz val="16"/>
      <color theme="0"/>
      <name val="Calibri"/>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4" tint="0.79998168889431442"/>
        <bgColor theme="4" tint="0.79998168889431442"/>
      </patternFill>
    </fill>
    <fill>
      <patternFill patternType="solid">
        <fgColor rgb="FF003870"/>
        <bgColor indexed="64"/>
      </patternFill>
    </fill>
    <fill>
      <patternFill patternType="solid">
        <fgColor rgb="FF00B050"/>
        <bgColor indexed="64"/>
      </patternFill>
    </fill>
    <fill>
      <patternFill patternType="solid">
        <fgColor rgb="FF40404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s>
  <cellStyleXfs count="3">
    <xf numFmtId="0" fontId="0" fillId="0" borderId="0"/>
    <xf numFmtId="0" fontId="6" fillId="0" borderId="0" applyNumberFormat="0" applyFill="0" applyBorder="0" applyAlignment="0" applyProtection="0"/>
    <xf numFmtId="9" fontId="15" fillId="0" borderId="0" applyFont="0" applyFill="0" applyBorder="0" applyAlignment="0" applyProtection="0"/>
  </cellStyleXfs>
  <cellXfs count="218">
    <xf numFmtId="0" fontId="0" fillId="0" borderId="0" xfId="0"/>
    <xf numFmtId="0" fontId="0" fillId="0" borderId="1" xfId="0" applyBorder="1"/>
    <xf numFmtId="0" fontId="1"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xf>
    <xf numFmtId="0" fontId="4" fillId="0" borderId="0" xfId="0" applyFont="1"/>
    <xf numFmtId="0" fontId="0" fillId="0" borderId="4" xfId="0" applyBorder="1" applyAlignment="1">
      <alignment horizontal="center"/>
    </xf>
    <xf numFmtId="0" fontId="0" fillId="0" borderId="4" xfId="0" applyBorder="1"/>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4" borderId="4" xfId="0" applyFill="1"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xf>
    <xf numFmtId="14" fontId="0" fillId="4" borderId="4" xfId="0" applyNumberFormat="1" applyFill="1" applyBorder="1" applyAlignment="1">
      <alignment horizontal="center" vertical="center"/>
    </xf>
    <xf numFmtId="0" fontId="0" fillId="4" borderId="1" xfId="0" applyFill="1" applyBorder="1" applyAlignment="1">
      <alignment horizontal="left"/>
    </xf>
    <xf numFmtId="0" fontId="0" fillId="4" borderId="3" xfId="0" applyFill="1"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left"/>
    </xf>
    <xf numFmtId="0" fontId="6" fillId="0" borderId="1" xfId="1" applyBorder="1" applyAlignment="1">
      <alignment horizontal="left"/>
    </xf>
    <xf numFmtId="0" fontId="0" fillId="0" borderId="1" xfId="0" applyBorder="1" applyAlignment="1">
      <alignment horizontal="left" vertical="center" wrapText="1"/>
    </xf>
    <xf numFmtId="0" fontId="6" fillId="0" borderId="1" xfId="1" applyBorder="1" applyAlignment="1">
      <alignment horizontal="left" vertical="center" wrapText="1"/>
    </xf>
    <xf numFmtId="0" fontId="0" fillId="0" borderId="1" xfId="0" applyBorder="1" applyAlignment="1">
      <alignment horizontal="center" vertical="center" wrapText="1"/>
    </xf>
    <xf numFmtId="0" fontId="6" fillId="0" borderId="1" xfId="1" applyBorder="1"/>
    <xf numFmtId="0" fontId="0" fillId="0" borderId="1" xfId="0" applyBorder="1" applyAlignment="1">
      <alignment wrapText="1"/>
    </xf>
    <xf numFmtId="0" fontId="0" fillId="0" borderId="1" xfId="0" applyBorder="1" applyAlignment="1">
      <alignment vertical="center" wrapText="1"/>
    </xf>
    <xf numFmtId="0" fontId="8" fillId="0" borderId="1" xfId="0" applyFont="1" applyBorder="1" applyAlignment="1">
      <alignment horizontal="center"/>
    </xf>
    <xf numFmtId="14" fontId="0" fillId="0" borderId="0" xfId="0" applyNumberFormat="1"/>
    <xf numFmtId="14" fontId="0" fillId="0" borderId="1" xfId="0" applyNumberFormat="1" applyBorder="1" applyAlignment="1">
      <alignment horizontal="center"/>
    </xf>
    <xf numFmtId="0" fontId="8" fillId="0" borderId="1" xfId="0" applyFont="1" applyBorder="1"/>
    <xf numFmtId="0" fontId="0" fillId="0" borderId="0" xfId="0" applyAlignment="1">
      <alignment horizontal="center"/>
    </xf>
    <xf numFmtId="14" fontId="0" fillId="0" borderId="1" xfId="0" applyNumberFormat="1" applyBorder="1" applyAlignment="1">
      <alignment horizontal="center" vertical="center" wrapText="1"/>
    </xf>
    <xf numFmtId="14" fontId="0" fillId="0" borderId="1" xfId="0" applyNumberFormat="1" applyBorder="1" applyAlignment="1">
      <alignment wrapText="1"/>
    </xf>
    <xf numFmtId="0" fontId="6" fillId="0" borderId="1" xfId="1" applyBorder="1" applyAlignment="1">
      <alignment wrapText="1"/>
    </xf>
    <xf numFmtId="0" fontId="0" fillId="5" borderId="1" xfId="0"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center"/>
    </xf>
    <xf numFmtId="0" fontId="0" fillId="6" borderId="1" xfId="0" applyFill="1" applyBorder="1" applyAlignment="1">
      <alignment horizontal="center" vertical="center" wrapText="1"/>
    </xf>
    <xf numFmtId="14" fontId="0" fillId="4" borderId="1" xfId="0" applyNumberFormat="1" applyFill="1" applyBorder="1"/>
    <xf numFmtId="0" fontId="6" fillId="4" borderId="1" xfId="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xf>
    <xf numFmtId="0" fontId="6" fillId="0" borderId="0" xfId="1" applyBorder="1"/>
    <xf numFmtId="0" fontId="0" fillId="0" borderId="9" xfId="0" applyBorder="1"/>
    <xf numFmtId="0" fontId="10" fillId="0" borderId="0" xfId="0" applyFont="1"/>
    <xf numFmtId="0" fontId="6" fillId="0" borderId="0" xfId="1"/>
    <xf numFmtId="0" fontId="6" fillId="0" borderId="1" xfId="1" applyFill="1" applyBorder="1"/>
    <xf numFmtId="14" fontId="0" fillId="4" borderId="1" xfId="0" applyNumberFormat="1" applyFill="1" applyBorder="1" applyAlignment="1">
      <alignment horizontal="center" vertical="center" wrapText="1"/>
    </xf>
    <xf numFmtId="14" fontId="0" fillId="5" borderId="0" xfId="0" applyNumberFormat="1" applyFill="1"/>
    <xf numFmtId="0" fontId="0" fillId="4" borderId="0" xfId="0" applyFill="1" applyAlignment="1">
      <alignment horizontal="center" vertical="center" wrapText="1"/>
    </xf>
    <xf numFmtId="0" fontId="0" fillId="0" borderId="2" xfId="0" applyBorder="1"/>
    <xf numFmtId="0" fontId="0" fillId="0" borderId="2" xfId="0" applyBorder="1" applyAlignment="1">
      <alignment horizontal="center"/>
    </xf>
    <xf numFmtId="0" fontId="6" fillId="0" borderId="2" xfId="1" applyBorder="1"/>
    <xf numFmtId="0" fontId="0" fillId="0" borderId="0" xfId="0" applyAlignment="1">
      <alignment horizontal="left"/>
    </xf>
    <xf numFmtId="0" fontId="2" fillId="2" borderId="1" xfId="0" applyFont="1" applyFill="1" applyBorder="1" applyAlignment="1">
      <alignment horizontal="left"/>
    </xf>
    <xf numFmtId="0" fontId="7" fillId="4" borderId="1" xfId="0" applyFont="1" applyFill="1" applyBorder="1" applyAlignment="1">
      <alignment horizontal="left"/>
    </xf>
    <xf numFmtId="0" fontId="7" fillId="0" borderId="1" xfId="0" applyFont="1" applyBorder="1" applyAlignment="1">
      <alignment horizontal="left"/>
    </xf>
    <xf numFmtId="0" fontId="7" fillId="0" borderId="1" xfId="0" applyFont="1" applyBorder="1" applyAlignment="1">
      <alignment horizontal="left" vertical="center"/>
    </xf>
    <xf numFmtId="0" fontId="0" fillId="7" borderId="1" xfId="0" applyFill="1" applyBorder="1"/>
    <xf numFmtId="0" fontId="0" fillId="7" borderId="4" xfId="0" applyFill="1" applyBorder="1"/>
    <xf numFmtId="0" fontId="0" fillId="7" borderId="1" xfId="0" applyFill="1" applyBorder="1" applyAlignment="1">
      <alignment horizontal="center"/>
    </xf>
    <xf numFmtId="14" fontId="0" fillId="7" borderId="1" xfId="0" applyNumberFormat="1" applyFill="1" applyBorder="1" applyAlignment="1">
      <alignment horizontal="center"/>
    </xf>
    <xf numFmtId="0" fontId="0" fillId="7" borderId="1" xfId="0" applyFill="1" applyBorder="1" applyAlignment="1">
      <alignment horizontal="left"/>
    </xf>
    <xf numFmtId="0" fontId="6" fillId="4" borderId="3" xfId="1" applyFill="1" applyBorder="1" applyAlignment="1">
      <alignment horizontal="center" vertical="center" wrapText="1"/>
    </xf>
    <xf numFmtId="0" fontId="6" fillId="0" borderId="1" xfId="1" applyBorder="1" applyAlignment="1">
      <alignment horizontal="center"/>
    </xf>
    <xf numFmtId="0" fontId="6" fillId="0" borderId="0" xfId="1" applyFill="1" applyBorder="1" applyAlignment="1">
      <alignment horizontal="center"/>
    </xf>
    <xf numFmtId="0" fontId="6" fillId="0" borderId="0" xfId="1" applyBorder="1" applyAlignment="1">
      <alignment horizontal="center"/>
    </xf>
    <xf numFmtId="0" fontId="6" fillId="0" borderId="4" xfId="1" applyBorder="1" applyAlignment="1">
      <alignment horizontal="center"/>
    </xf>
    <xf numFmtId="0" fontId="6" fillId="0" borderId="2" xfId="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4" xfId="0" applyFill="1" applyBorder="1"/>
    <xf numFmtId="0" fontId="0" fillId="4" borderId="2" xfId="0" applyFill="1" applyBorder="1"/>
    <xf numFmtId="0" fontId="0" fillId="0" borderId="2" xfId="0" applyBorder="1" applyAlignment="1">
      <alignment horizontal="left"/>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4" borderId="10" xfId="0" applyFill="1" applyBorder="1"/>
    <xf numFmtId="0" fontId="8" fillId="4" borderId="1" xfId="0" applyFont="1" applyFill="1" applyBorder="1" applyAlignment="1">
      <alignment horizontal="center"/>
    </xf>
    <xf numFmtId="0" fontId="1" fillId="4" borderId="1" xfId="0" applyFont="1" applyFill="1" applyBorder="1" applyAlignment="1">
      <alignment horizontal="center"/>
    </xf>
    <xf numFmtId="0" fontId="8" fillId="4" borderId="1" xfId="0" applyFont="1" applyFill="1" applyBorder="1"/>
    <xf numFmtId="0" fontId="0" fillId="4" borderId="5" xfId="0" applyFill="1" applyBorder="1"/>
    <xf numFmtId="0" fontId="6" fillId="4" borderId="1" xfId="1" applyFill="1" applyBorder="1" applyAlignment="1">
      <alignment horizontal="left"/>
    </xf>
    <xf numFmtId="0" fontId="6" fillId="4" borderId="1" xfId="1" applyFill="1" applyBorder="1" applyAlignment="1">
      <alignment horizontal="center"/>
    </xf>
    <xf numFmtId="0" fontId="0" fillId="4" borderId="4" xfId="0" applyFill="1" applyBorder="1" applyAlignment="1">
      <alignment horizontal="left"/>
    </xf>
    <xf numFmtId="0" fontId="0" fillId="4" borderId="1" xfId="0" applyFill="1" applyBorder="1" applyAlignment="1">
      <alignment horizontal="left" vertical="center" wrapText="1"/>
    </xf>
    <xf numFmtId="0" fontId="7" fillId="4" borderId="1" xfId="0" applyFont="1" applyFill="1" applyBorder="1" applyAlignment="1">
      <alignment horizontal="left" vertical="center"/>
    </xf>
    <xf numFmtId="0" fontId="6" fillId="4" borderId="1" xfId="1" applyFill="1" applyBorder="1" applyAlignment="1">
      <alignment horizontal="left" vertical="center" wrapText="1"/>
    </xf>
    <xf numFmtId="0" fontId="0" fillId="4" borderId="4" xfId="0" applyFill="1" applyBorder="1" applyAlignment="1">
      <alignment horizontal="center"/>
    </xf>
    <xf numFmtId="0" fontId="6" fillId="4" borderId="0" xfId="1" applyFill="1" applyBorder="1" applyAlignment="1">
      <alignment horizontal="center"/>
    </xf>
    <xf numFmtId="0" fontId="0" fillId="4" borderId="9" xfId="0" applyFill="1" applyBorder="1"/>
    <xf numFmtId="0" fontId="6" fillId="4" borderId="0" xfId="1" applyFill="1" applyBorder="1"/>
    <xf numFmtId="0" fontId="6" fillId="4" borderId="0" xfId="1" applyFill="1"/>
    <xf numFmtId="0" fontId="6" fillId="4" borderId="4" xfId="1"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left"/>
    </xf>
    <xf numFmtId="0" fontId="6" fillId="4" borderId="2" xfId="1" applyFill="1" applyBorder="1"/>
    <xf numFmtId="0" fontId="6" fillId="4" borderId="2" xfId="1" applyFill="1" applyBorder="1" applyAlignment="1">
      <alignment horizontal="center"/>
    </xf>
    <xf numFmtId="14" fontId="0" fillId="4" borderId="2" xfId="0" applyNumberFormat="1" applyFill="1" applyBorder="1" applyAlignment="1">
      <alignment horizontal="center"/>
    </xf>
    <xf numFmtId="0" fontId="0" fillId="4" borderId="7" xfId="0" applyFill="1" applyBorder="1"/>
    <xf numFmtId="0" fontId="0" fillId="4" borderId="0" xfId="0" applyFill="1" applyAlignment="1">
      <alignment horizontal="center"/>
    </xf>
    <xf numFmtId="0" fontId="0" fillId="4" borderId="4" xfId="0" applyFill="1" applyBorder="1" applyAlignment="1">
      <alignment horizontal="center" vertical="center"/>
    </xf>
    <xf numFmtId="0" fontId="0" fillId="4" borderId="5" xfId="0"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13" fillId="4" borderId="4" xfId="0" applyFont="1" applyFill="1" applyBorder="1"/>
    <xf numFmtId="0" fontId="13" fillId="4" borderId="1" xfId="0" applyFont="1" applyFill="1" applyBorder="1" applyAlignment="1">
      <alignment horizontal="center"/>
    </xf>
    <xf numFmtId="14" fontId="13" fillId="4" borderId="1" xfId="0" applyNumberFormat="1" applyFont="1" applyFill="1" applyBorder="1" applyAlignment="1">
      <alignment horizontal="center"/>
    </xf>
    <xf numFmtId="0" fontId="13" fillId="4" borderId="1" xfId="0" applyFont="1" applyFill="1" applyBorder="1"/>
    <xf numFmtId="0" fontId="13" fillId="4" borderId="1" xfId="0" applyFont="1" applyFill="1" applyBorder="1" applyAlignment="1">
      <alignment horizontal="left"/>
    </xf>
    <xf numFmtId="0" fontId="0" fillId="4" borderId="1" xfId="0" applyFill="1" applyBorder="1" applyAlignment="1">
      <alignment horizontal="left" vertical="center"/>
    </xf>
    <xf numFmtId="0" fontId="0" fillId="4" borderId="10" xfId="0" applyFill="1" applyBorder="1" applyAlignment="1">
      <alignment horizontal="center"/>
    </xf>
    <xf numFmtId="0" fontId="6" fillId="4" borderId="1" xfId="1" applyFill="1" applyBorder="1" applyAlignment="1">
      <alignment vertical="center" wrapText="1"/>
    </xf>
    <xf numFmtId="0" fontId="0" fillId="0" borderId="4" xfId="0" applyBorder="1" applyAlignment="1">
      <alignment horizontal="center" vertical="center"/>
    </xf>
    <xf numFmtId="0" fontId="0" fillId="0" borderId="0" xfId="0" pivotButton="1"/>
    <xf numFmtId="0" fontId="1" fillId="8" borderId="1" xfId="0" applyFont="1" applyFill="1" applyBorder="1"/>
    <xf numFmtId="0" fontId="13" fillId="4" borderId="5" xfId="0" applyFont="1" applyFill="1" applyBorder="1"/>
    <xf numFmtId="0" fontId="13" fillId="4" borderId="10" xfId="0" applyFont="1" applyFill="1" applyBorder="1"/>
    <xf numFmtId="0" fontId="13" fillId="4" borderId="2" xfId="0" applyFont="1" applyFill="1" applyBorder="1"/>
    <xf numFmtId="0" fontId="13" fillId="4" borderId="7" xfId="0" applyFont="1" applyFill="1" applyBorder="1"/>
    <xf numFmtId="0" fontId="13" fillId="4" borderId="6" xfId="0" applyFont="1" applyFill="1" applyBorder="1"/>
    <xf numFmtId="0" fontId="13" fillId="4" borderId="9" xfId="0" applyFont="1" applyFill="1" applyBorder="1"/>
    <xf numFmtId="0" fontId="13" fillId="4" borderId="0" xfId="0" applyFont="1" applyFill="1" applyAlignment="1">
      <alignment horizontal="center"/>
    </xf>
    <xf numFmtId="0" fontId="13" fillId="4" borderId="0" xfId="0" applyFont="1" applyFill="1"/>
    <xf numFmtId="0" fontId="13" fillId="4" borderId="2" xfId="0" applyFont="1" applyFill="1" applyBorder="1" applyAlignment="1">
      <alignment horizontal="center"/>
    </xf>
    <xf numFmtId="9" fontId="13" fillId="4" borderId="1" xfId="2" applyFont="1" applyFill="1" applyBorder="1" applyAlignment="1">
      <alignment horizontal="center"/>
    </xf>
    <xf numFmtId="9" fontId="13" fillId="4" borderId="5" xfId="2" applyFont="1" applyFill="1" applyBorder="1" applyAlignment="1">
      <alignment horizontal="center"/>
    </xf>
    <xf numFmtId="9" fontId="13" fillId="4" borderId="5" xfId="0" applyNumberFormat="1" applyFont="1" applyFill="1" applyBorder="1" applyAlignment="1">
      <alignment horizontal="center"/>
    </xf>
    <xf numFmtId="9" fontId="13" fillId="4" borderId="7" xfId="2" applyFont="1" applyFill="1" applyBorder="1" applyAlignment="1">
      <alignment horizontal="center"/>
    </xf>
    <xf numFmtId="0" fontId="0" fillId="4" borderId="3" xfId="0" applyFill="1" applyBorder="1" applyAlignment="1">
      <alignment horizontal="center" vertical="center" wrapText="1"/>
    </xf>
    <xf numFmtId="9" fontId="13" fillId="4" borderId="0" xfId="2" applyFont="1" applyFill="1" applyBorder="1" applyAlignment="1">
      <alignment horizontal="center"/>
    </xf>
    <xf numFmtId="0" fontId="8" fillId="9" borderId="1" xfId="0" applyFont="1" applyFill="1" applyBorder="1"/>
    <xf numFmtId="0" fontId="8" fillId="9" borderId="1" xfId="0" applyFont="1" applyFill="1" applyBorder="1" applyAlignment="1">
      <alignment horizontal="center"/>
    </xf>
    <xf numFmtId="0" fontId="8" fillId="9" borderId="1" xfId="0" applyFont="1" applyFill="1" applyBorder="1" applyAlignment="1">
      <alignment vertical="center"/>
    </xf>
    <xf numFmtId="0" fontId="14" fillId="9" borderId="3" xfId="0" applyFont="1" applyFill="1" applyBorder="1"/>
    <xf numFmtId="0" fontId="8" fillId="9" borderId="12" xfId="0" applyFont="1" applyFill="1" applyBorder="1" applyAlignment="1">
      <alignment horizontal="center"/>
    </xf>
    <xf numFmtId="0" fontId="8" fillId="9" borderId="3" xfId="0" applyFont="1" applyFill="1" applyBorder="1"/>
    <xf numFmtId="0" fontId="8" fillId="9" borderId="8" xfId="0" applyFont="1" applyFill="1" applyBorder="1" applyAlignment="1">
      <alignment horizontal="center"/>
    </xf>
    <xf numFmtId="0" fontId="8" fillId="9" borderId="3" xfId="0" applyFont="1" applyFill="1" applyBorder="1" applyAlignment="1">
      <alignment horizontal="center"/>
    </xf>
    <xf numFmtId="0" fontId="14" fillId="9" borderId="12" xfId="0" applyFont="1" applyFill="1" applyBorder="1"/>
    <xf numFmtId="0" fontId="14" fillId="9" borderId="3" xfId="0" applyFont="1" applyFill="1" applyBorder="1" applyAlignment="1">
      <alignment horizontal="center"/>
    </xf>
    <xf numFmtId="0" fontId="14" fillId="9" borderId="8" xfId="0" applyFont="1" applyFill="1" applyBorder="1" applyAlignment="1">
      <alignment horizontal="center"/>
    </xf>
    <xf numFmtId="0" fontId="8" fillId="9" borderId="0" xfId="0" applyFont="1" applyFill="1" applyAlignment="1">
      <alignment vertical="center"/>
    </xf>
    <xf numFmtId="0" fontId="1" fillId="0" borderId="14" xfId="0" applyFont="1" applyBorder="1" applyAlignment="1">
      <alignment horizontal="left"/>
    </xf>
    <xf numFmtId="0" fontId="1" fillId="0" borderId="0" xfId="0" applyFont="1" applyAlignment="1">
      <alignment horizontal="left"/>
    </xf>
    <xf numFmtId="0" fontId="1" fillId="4" borderId="2" xfId="0" applyFont="1" applyFill="1" applyBorder="1" applyAlignment="1">
      <alignment horizontal="center"/>
    </xf>
    <xf numFmtId="0" fontId="8" fillId="4" borderId="2" xfId="0" applyFont="1" applyFill="1" applyBorder="1"/>
    <xf numFmtId="2" fontId="0" fillId="0" borderId="1" xfId="0" applyNumberFormat="1" applyBorder="1" applyAlignment="1">
      <alignment horizontal="center"/>
    </xf>
    <xf numFmtId="0" fontId="0" fillId="0" borderId="1" xfId="0" pivotButton="1" applyBorder="1" applyAlignment="1">
      <alignment horizontal="center"/>
    </xf>
    <xf numFmtId="0" fontId="1" fillId="8" borderId="1" xfId="0" applyFont="1" applyFill="1" applyBorder="1" applyAlignment="1">
      <alignment horizontal="center"/>
    </xf>
    <xf numFmtId="0" fontId="13" fillId="4" borderId="5" xfId="1" applyFont="1" applyFill="1" applyBorder="1" applyAlignment="1">
      <alignment vertical="center" wrapText="1"/>
    </xf>
    <xf numFmtId="0" fontId="8" fillId="9" borderId="0" xfId="0" applyFont="1" applyFill="1"/>
    <xf numFmtId="0" fontId="8" fillId="9" borderId="0" xfId="0" applyFont="1" applyFill="1" applyAlignment="1">
      <alignment horizontal="left"/>
    </xf>
    <xf numFmtId="0" fontId="15" fillId="4" borderId="1" xfId="1" applyFont="1" applyFill="1" applyBorder="1" applyAlignment="1">
      <alignment vertical="center" wrapText="1"/>
    </xf>
    <xf numFmtId="0" fontId="13" fillId="4" borderId="1" xfId="1" applyFont="1" applyFill="1" applyBorder="1"/>
    <xf numFmtId="0" fontId="0" fillId="4" borderId="0" xfId="0" applyFill="1" applyAlignment="1">
      <alignment horizontal="left" vertical="center" wrapText="1"/>
    </xf>
    <xf numFmtId="0" fontId="0" fillId="4" borderId="0" xfId="0" applyFill="1" applyAlignment="1">
      <alignment vertical="center" wrapText="1"/>
    </xf>
    <xf numFmtId="14" fontId="0" fillId="4" borderId="0" xfId="0" applyNumberFormat="1" applyFill="1" applyAlignment="1">
      <alignment horizontal="center" vertical="center"/>
    </xf>
    <xf numFmtId="0" fontId="0" fillId="4" borderId="0" xfId="0" applyFill="1" applyAlignment="1">
      <alignment vertical="center"/>
    </xf>
    <xf numFmtId="0" fontId="6" fillId="4" borderId="0" xfId="1" applyFill="1" applyBorder="1" applyAlignment="1">
      <alignment vertical="center" wrapText="1"/>
    </xf>
    <xf numFmtId="0" fontId="13" fillId="4" borderId="0" xfId="1" applyFont="1" applyFill="1" applyBorder="1" applyAlignment="1">
      <alignment vertical="center" wrapText="1"/>
    </xf>
    <xf numFmtId="0" fontId="13" fillId="4" borderId="5" xfId="1" applyNumberFormat="1" applyFont="1" applyFill="1" applyBorder="1" applyAlignment="1">
      <alignment vertical="center" wrapText="1"/>
    </xf>
    <xf numFmtId="14" fontId="0" fillId="4" borderId="0" xfId="0" applyNumberFormat="1" applyFill="1" applyAlignment="1">
      <alignment horizontal="center"/>
    </xf>
    <xf numFmtId="0" fontId="0" fillId="4" borderId="0" xfId="0" applyFill="1" applyAlignment="1">
      <alignment horizontal="left"/>
    </xf>
    <xf numFmtId="0" fontId="1" fillId="4" borderId="0" xfId="0" applyFont="1" applyFill="1" applyAlignment="1">
      <alignment horizontal="center"/>
    </xf>
    <xf numFmtId="0" fontId="8" fillId="4" borderId="0" xfId="0" applyFont="1" applyFill="1"/>
    <xf numFmtId="0" fontId="0" fillId="4" borderId="1" xfId="0" applyFill="1" applyBorder="1" applyAlignment="1">
      <alignment horizontal="left" vertical="top" wrapText="1"/>
    </xf>
    <xf numFmtId="0" fontId="2" fillId="2" borderId="13" xfId="0" applyFont="1" applyFill="1" applyBorder="1" applyAlignment="1">
      <alignment horizontal="left" vertical="center" wrapText="1"/>
    </xf>
    <xf numFmtId="0" fontId="0" fillId="4" borderId="0" xfId="0" applyFill="1" applyAlignment="1">
      <alignment horizontal="left" wrapText="1"/>
    </xf>
    <xf numFmtId="0" fontId="0" fillId="11" borderId="0" xfId="0" applyFill="1"/>
    <xf numFmtId="0" fontId="0" fillId="11" borderId="0" xfId="0" applyFill="1" applyAlignment="1">
      <alignment horizontal="center"/>
    </xf>
    <xf numFmtId="0" fontId="6" fillId="4" borderId="13" xfId="1" applyFill="1" applyBorder="1"/>
    <xf numFmtId="0" fontId="0" fillId="4" borderId="13" xfId="0" applyFill="1" applyBorder="1"/>
    <xf numFmtId="0" fontId="0" fillId="4" borderId="13" xfId="0" applyFill="1" applyBorder="1" applyAlignment="1">
      <alignment horizontal="center"/>
    </xf>
    <xf numFmtId="14" fontId="0" fillId="4" borderId="13" xfId="0" applyNumberFormat="1" applyFill="1" applyBorder="1" applyAlignment="1">
      <alignment horizontal="center"/>
    </xf>
    <xf numFmtId="0" fontId="1" fillId="4" borderId="13" xfId="0" applyFont="1" applyFill="1" applyBorder="1" applyAlignment="1">
      <alignment horizontal="center"/>
    </xf>
    <xf numFmtId="0" fontId="8" fillId="4" borderId="13" xfId="0" applyFont="1" applyFill="1" applyBorder="1"/>
    <xf numFmtId="0" fontId="6" fillId="4" borderId="13" xfId="1" applyFill="1" applyBorder="1" applyAlignment="1">
      <alignment horizontal="center"/>
    </xf>
    <xf numFmtId="0" fontId="6" fillId="4" borderId="1" xfId="1" applyNumberFormat="1" applyFill="1" applyBorder="1" applyAlignment="1">
      <alignment horizontal="center" vertical="center" wrapText="1"/>
    </xf>
    <xf numFmtId="0" fontId="8" fillId="4" borderId="1" xfId="0" applyFont="1" applyFill="1" applyBorder="1" applyAlignment="1">
      <alignment horizontal="left" vertical="center" wrapText="1"/>
    </xf>
    <xf numFmtId="0" fontId="6" fillId="4" borderId="1" xfId="1" applyFill="1" applyBorder="1" applyAlignment="1">
      <alignment vertical="center"/>
    </xf>
    <xf numFmtId="0" fontId="6" fillId="4" borderId="0" xfId="1" applyFill="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horizontal="center"/>
    </xf>
    <xf numFmtId="0" fontId="0" fillId="0" borderId="0" xfId="0" applyAlignment="1">
      <alignment horizontal="center"/>
    </xf>
    <xf numFmtId="0" fontId="13" fillId="4" borderId="1" xfId="0" applyFont="1" applyFill="1" applyBorder="1" applyAlignment="1">
      <alignment horizontal="center"/>
    </xf>
    <xf numFmtId="0" fontId="16" fillId="9" borderId="0" xfId="0" applyFont="1" applyFill="1" applyAlignment="1">
      <alignment horizontal="center" vertical="center"/>
    </xf>
    <xf numFmtId="0" fontId="0" fillId="10" borderId="0" xfId="0" applyFill="1" applyAlignment="1">
      <alignment horizontal="center"/>
    </xf>
    <xf numFmtId="0" fontId="0" fillId="0" borderId="0" xfId="0" applyNumberFormat="1"/>
  </cellXfs>
  <cellStyles count="3">
    <cellStyle name="Hipervínculo" xfId="1" builtinId="8"/>
    <cellStyle name="Normal" xfId="0" builtinId="0"/>
    <cellStyle name="Porcentaje" xfId="2" builtinId="5"/>
  </cellStyles>
  <dxfs count="218">
    <dxf>
      <font>
        <b/>
        <i val="0"/>
        <color theme="0"/>
      </font>
      <fill>
        <patternFill>
          <bgColor rgb="FFC0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fgColor theme="0"/>
          <bgColor rgb="FFFF000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C7CE"/>
        </patternFill>
      </fill>
    </dxf>
    <dxf>
      <fill>
        <patternFill>
          <bgColor rgb="FFFFC7CE"/>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fgColor theme="0"/>
          <bgColor rgb="FFFF00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alignment horizontal="cent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ont>
        <color theme="1"/>
      </font>
    </dxf>
    <dxf>
      <font>
        <color theme="1"/>
      </font>
    </dxf>
    <dxf>
      <font>
        <color theme="0"/>
      </font>
    </dxf>
    <dxf>
      <font>
        <color theme="0"/>
      </font>
    </dxf>
    <dxf>
      <fill>
        <patternFill patternType="solid">
          <bgColor rgb="FF003870"/>
        </patternFill>
      </fill>
    </dxf>
    <dxf>
      <fill>
        <patternFill patternType="solid">
          <bgColor rgb="FF003870"/>
        </patternFill>
      </fill>
    </dxf>
    <dxf>
      <font>
        <color theme="0"/>
      </font>
    </dxf>
    <dxf>
      <font>
        <color theme="0"/>
      </font>
    </dxf>
    <dxf>
      <font>
        <color theme="0"/>
      </font>
    </dxf>
    <dxf>
      <font>
        <color theme="0"/>
      </font>
    </dxf>
    <dxf>
      <font>
        <color theme="0"/>
      </font>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alignment vertical="center"/>
    </dxf>
    <dxf>
      <alignment vertical="center"/>
    </dxf>
    <dxf>
      <alignment vertical="center"/>
    </dxf>
    <dxf>
      <alignment vertical="center"/>
    </dxf>
    <dxf>
      <alignment vertical="cent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19" formatCode="d/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border>
    </dxf>
    <dxf>
      <border outline="0">
        <left style="thin">
          <color indexed="64"/>
        </left>
        <right style="thin">
          <color indexed="64"/>
        </right>
        <bottom style="thin">
          <color indexed="64"/>
        </bottom>
      </border>
    </dxf>
    <dxf>
      <fill>
        <patternFill patternType="none">
          <fgColor indexed="64"/>
          <bgColor auto="1"/>
        </patternFill>
      </fill>
    </dxf>
    <dxf>
      <font>
        <b/>
        <i val="0"/>
        <strike val="0"/>
        <condense val="0"/>
        <extend val="0"/>
        <outline val="0"/>
        <shadow val="0"/>
        <u val="none"/>
        <vertAlign val="baseline"/>
        <sz val="12"/>
        <color theme="0"/>
        <name val="Artifex CF Extra Light"/>
        <family val="3"/>
        <scheme val="none"/>
      </font>
      <fill>
        <patternFill patternType="solid">
          <fgColor indexed="64"/>
          <bgColor theme="8" tint="-0.499984740745262"/>
        </patternFill>
      </fill>
      <alignment horizontal="center" vertical="center" textRotation="0" wrapText="1" indent="0" justifyLastLine="0" shrinkToFit="0" readingOrder="0"/>
    </dxf>
    <dxf>
      <font>
        <b/>
        <i val="0"/>
        <color theme="0"/>
      </font>
      <fill>
        <patternFill>
          <bgColor rgb="FF003870"/>
        </patternFill>
      </fill>
      <border>
        <bottom style="thin">
          <color theme="6"/>
        </bottom>
        <vertical/>
        <horizontal/>
      </border>
    </dxf>
    <dxf>
      <font>
        <color theme="1"/>
      </font>
      <fill>
        <patternFill>
          <bgColor theme="1" tint="0.24994659260841701"/>
        </patternFill>
      </fill>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color theme="1"/>
      </font>
      <border>
        <left style="thin">
          <color theme="6"/>
        </left>
        <right style="thin">
          <color theme="6"/>
        </right>
        <top style="thin">
          <color theme="6"/>
        </top>
        <bottom style="thin">
          <color theme="6"/>
        </bottom>
        <vertical/>
        <horizontal/>
      </border>
    </dxf>
  </dxfs>
  <tableStyles count="2" defaultTableStyle="TableStyleMedium2" defaultPivotStyle="PivotStyleLight16">
    <tableStyle name="SlicerStyleDark3 2" pivot="0" table="0" count="10" xr9:uid="{37D4EE73-9029-4DC7-9FCB-B620A3ACB116}">
      <tableStyleElement type="wholeTable" dxfId="217"/>
      <tableStyleElement type="headerRow" dxfId="216"/>
    </tableStyle>
    <tableStyle name="SlicerStyleDark3 3" pivot="0" table="0" count="10" xr9:uid="{54773F09-BE82-49CC-A65E-8697C7054803}">
      <tableStyleElement type="wholeTable" dxfId="215"/>
      <tableStyleElement type="headerRow" dxfId="214"/>
    </tableStyle>
  </tableStyles>
  <colors>
    <mruColors>
      <color rgb="FF273043"/>
      <color rgb="FF404040"/>
      <color rgb="FF003870"/>
      <color rgb="FF7D83FF"/>
      <color rgb="FF679436"/>
      <color rgb="FF1CCAD8"/>
      <color rgb="FFF0E100"/>
      <color rgb="FFE0D8DE"/>
      <color rgb="FFFFFDFD"/>
      <color rgb="FFFEF5EF"/>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theme="0" tint="-4.9989318521683403E-2"/>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1"/>
              <bgColor theme="6" tint="-0.24994659260841701"/>
            </patternFill>
          </fill>
          <border>
            <left style="thin">
              <color theme="6"/>
            </left>
            <right style="thin">
              <color theme="6"/>
            </right>
            <top style="thin">
              <color theme="6"/>
            </top>
            <bottom style="thin">
              <color theme="6"/>
            </bottom>
            <vertical/>
            <horizontal/>
          </border>
        </dxf>
        <dxf>
          <font>
            <color theme="0" tint="-0.14996795556505021"/>
          </font>
          <fill>
            <patternFill patternType="solid">
              <fgColor theme="0" tint="-4.9989318521683403E-2"/>
              <bgColor theme="0"/>
            </patternFill>
          </fill>
          <border>
            <left style="thin">
              <color rgb="FFDFDFDF"/>
            </left>
            <right style="thin">
              <color rgb="FFDFDFDF"/>
            </right>
            <top style="thin">
              <color rgb="FFDFDFDF"/>
            </top>
            <bottom style="thin">
              <color rgb="FFDFDFDF"/>
            </bottom>
            <vertical/>
            <horizontal/>
          </border>
        </dxf>
        <dxf>
          <font>
            <color theme="1" tint="0.34998626667073579"/>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3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3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microsoft.com/office/2007/relationships/slicerCache" Target="slicerCaches/slicerCache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07/relationships/slicerCache" Target="slicerCaches/slicerCache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31"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2.xml"/><Relationship Id="rId27" Type="http://schemas.openxmlformats.org/officeDocument/2006/relationships/connections" Target="connections.xml"/><Relationship Id="rId30"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Reportadas</a:t>
            </a:r>
          </a:p>
        </c:rich>
      </c:tx>
      <c:layout>
        <c:manualLayout>
          <c:xMode val="edge"/>
          <c:yMode val="edge"/>
          <c:x val="0.2468540731473986"/>
          <c:y val="3.703716722909636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ES"/>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3-F9FF-460F-94EF-15CC074C7D0B}"/>
              </c:ext>
            </c:extLst>
          </c:dPt>
          <c:dPt>
            <c:idx val="1"/>
            <c:bubble3D val="0"/>
            <c:spPr>
              <a:solidFill>
                <a:srgbClr val="003870"/>
              </a:solidFill>
              <a:ln w="19050">
                <a:solidFill>
                  <a:schemeClr val="lt1"/>
                </a:solidFill>
              </a:ln>
              <a:effectLst/>
            </c:spPr>
            <c:extLst>
              <c:ext xmlns:c16="http://schemas.microsoft.com/office/drawing/2014/chart" uri="{C3380CC4-5D6E-409C-BE32-E72D297353CC}">
                <c16:uniqueId val="{00000004-F9FF-460F-94EF-15CC074C7D0B}"/>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F9FF-460F-94EF-15CC074C7D0B}"/>
              </c:ext>
            </c:extLst>
          </c:dPt>
          <c:dLbls>
            <c:dLbl>
              <c:idx val="0"/>
              <c:layout>
                <c:manualLayout>
                  <c:x val="-8.2459771383717295E-2"/>
                  <c:y val="0.11082364704411948"/>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FF-460F-94EF-15CC074C7D0B}"/>
                </c:ext>
              </c:extLst>
            </c:dLbl>
            <c:dLbl>
              <c:idx val="1"/>
              <c:layout>
                <c:manualLayout>
                  <c:x val="-5.2456643854097679E-2"/>
                  <c:y val="-0.20624817731116943"/>
                </c:manualLayout>
              </c:layout>
              <c:tx>
                <c:rich>
                  <a:bodyPr/>
                  <a:lstStyle/>
                  <a:p>
                    <a:fld id="{45926B86-4693-4889-9FAE-52B58C6384AC}" type="VALUE">
                      <a:rPr lang="en-US">
                        <a:solidFill>
                          <a:schemeClr val="bg1"/>
                        </a:solidFill>
                      </a:rPr>
                      <a:pPr/>
                      <a:t>[VALOR]</a:t>
                    </a:fld>
                    <a:r>
                      <a:rPr lang="en-US" baseline="0">
                        <a:solidFill>
                          <a:schemeClr val="bg1"/>
                        </a:solidFill>
                      </a:rPr>
                      <a:t>; </a:t>
                    </a:r>
                    <a:fld id="{8A8403B4-7B58-4AEB-99F3-BFB2ECE74480}" type="PERCENTAGE">
                      <a:rPr lang="en-US" baseline="0">
                        <a:solidFill>
                          <a:schemeClr val="bg1"/>
                        </a:solidFill>
                      </a:rPr>
                      <a:pPr/>
                      <a:t>[PORCENTAJE]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9FF-460F-94EF-15CC074C7D0B}"/>
                </c:ext>
              </c:extLst>
            </c:dLbl>
            <c:dLbl>
              <c:idx val="2"/>
              <c:layout>
                <c:manualLayout>
                  <c:x val="9.828599112026884E-2"/>
                  <c:y val="0.101017841519809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FF-460F-94EF-15CC074C7D0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Interno'!$A$2:$A$4</c:f>
              <c:strCache>
                <c:ptCount val="3"/>
                <c:pt idx="0">
                  <c:v>Queja</c:v>
                </c:pt>
                <c:pt idx="1">
                  <c:v>Reclamación</c:v>
                </c:pt>
                <c:pt idx="2">
                  <c:v>Sugerencia</c:v>
                </c:pt>
              </c:strCache>
            </c:strRef>
          </c:cat>
          <c:val>
            <c:numRef>
              <c:f>'Reporte Interno'!$B$2:$B$4</c:f>
              <c:numCache>
                <c:formatCode>General</c:formatCode>
                <c:ptCount val="3"/>
                <c:pt idx="0">
                  <c:v>0</c:v>
                </c:pt>
                <c:pt idx="1">
                  <c:v>12</c:v>
                </c:pt>
                <c:pt idx="2">
                  <c:v>0</c:v>
                </c:pt>
              </c:numCache>
            </c:numRef>
          </c:val>
          <c:extLst>
            <c:ext xmlns:c16="http://schemas.microsoft.com/office/drawing/2014/chart" uri="{C3380CC4-5D6E-409C-BE32-E72D297353CC}">
              <c16:uniqueId val="{00000000-F9FF-460F-94EF-15CC074C7D0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por Género</a:t>
            </a:r>
          </a:p>
        </c:rich>
      </c:tx>
      <c:layout>
        <c:manualLayout>
          <c:xMode val="edge"/>
          <c:yMode val="edge"/>
          <c:x val="0.25853643294588174"/>
          <c:y val="3.70370370370370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ES"/>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167B-410A-9A34-0482B407AF6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167B-410A-9A34-0482B407AF61}"/>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167B-410A-9A34-0482B407AF61}"/>
              </c:ext>
            </c:extLst>
          </c:dPt>
          <c:dLbls>
            <c:dLbl>
              <c:idx val="0"/>
              <c:layout>
                <c:manualLayout>
                  <c:x val="-0.14013141756813102"/>
                  <c:y val="6.7110361204849395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7B-410A-9A34-0482B407AF61}"/>
                </c:ext>
              </c:extLst>
            </c:dLbl>
            <c:dLbl>
              <c:idx val="1"/>
              <c:layout>
                <c:manualLayout>
                  <c:x val="0.15828994652537592"/>
                  <c:y val="-0.17470618256051326"/>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7B-410A-9A34-0482B407AF61}"/>
                </c:ext>
              </c:extLst>
            </c:dLbl>
            <c:dLbl>
              <c:idx val="2"/>
              <c:layout>
                <c:manualLayout>
                  <c:x val="8.7968209581278975E-2"/>
                  <c:y val="0.1070319335083114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7B-410A-9A34-0482B407AF6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Interno'!$A$8:$A$10</c:f>
              <c:strCache>
                <c:ptCount val="3"/>
                <c:pt idx="0">
                  <c:v>Masculino</c:v>
                </c:pt>
                <c:pt idx="1">
                  <c:v>Femenino</c:v>
                </c:pt>
                <c:pt idx="2">
                  <c:v>N/A</c:v>
                </c:pt>
              </c:strCache>
            </c:strRef>
          </c:cat>
          <c:val>
            <c:numRef>
              <c:f>'Reporte Interno'!$E$8:$E$10</c:f>
              <c:numCache>
                <c:formatCode>General</c:formatCode>
                <c:ptCount val="3"/>
                <c:pt idx="0">
                  <c:v>4</c:v>
                </c:pt>
                <c:pt idx="1">
                  <c:v>7</c:v>
                </c:pt>
                <c:pt idx="2">
                  <c:v>0</c:v>
                </c:pt>
              </c:numCache>
            </c:numRef>
          </c:val>
          <c:extLst>
            <c:ext xmlns:c16="http://schemas.microsoft.com/office/drawing/2014/chart" uri="{C3380CC4-5D6E-409C-BE32-E72D297353CC}">
              <c16:uniqueId val="{00000008-167B-410A-9A34-0482B407AF6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1341529044266"/>
          <c:y val="4.7680970957954052E-2"/>
          <c:w val="0.81198059005510914"/>
          <c:h val="0.7347279249391615"/>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1.1454753722794959E-2"/>
                  <c:y val="0.19072388383181621"/>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6-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5-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4-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Interno'!$A$13:$A$16</c:f>
              <c:strCache>
                <c:ptCount val="4"/>
                <c:pt idx="0">
                  <c:v>Buzón Web</c:v>
                </c:pt>
                <c:pt idx="1">
                  <c:v>Línea 311</c:v>
                </c:pt>
                <c:pt idx="2">
                  <c:v>Correo Electrónico</c:v>
                </c:pt>
                <c:pt idx="3">
                  <c:v>Buzón Físico</c:v>
                </c:pt>
              </c:strCache>
            </c:strRef>
          </c:cat>
          <c:val>
            <c:numRef>
              <c:f>'Reporte Interno'!$B$13:$B$16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619-4C88-969E-F2A243E87613}"/>
            </c:ext>
          </c:extLst>
        </c:ser>
        <c:ser>
          <c:idx val="1"/>
          <c:order val="1"/>
          <c:tx>
            <c:v>Reclamaciones</c:v>
          </c:tx>
          <c:spPr>
            <a:solidFill>
              <a:srgbClr val="002060"/>
            </a:solidFill>
            <a:ln>
              <a:noFill/>
            </a:ln>
            <a:effectLst/>
          </c:spPr>
          <c:invertIfNegative val="0"/>
          <c:dLbls>
            <c:dLbl>
              <c:idx val="0"/>
              <c:layout>
                <c:manualLayout>
                  <c:x val="-0.48352574914389995"/>
                  <c:y val="0.23407022106631975"/>
                </c:manualLayout>
              </c:layout>
              <c:dLblPos val="outEnd"/>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B-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9-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A-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'Reporte Interno'!$C$13:$C$16</c:f>
              <c:numCache>
                <c:formatCode>General</c:formatCode>
                <c:ptCount val="4"/>
                <c:pt idx="0">
                  <c:v>9</c:v>
                </c:pt>
                <c:pt idx="1">
                  <c:v>0</c:v>
                </c:pt>
                <c:pt idx="2">
                  <c:v>3</c:v>
                </c:pt>
                <c:pt idx="3">
                  <c:v>0</c:v>
                </c:pt>
              </c:numCache>
            </c:numRef>
          </c:val>
          <c:extLst>
            <c:ext xmlns:c16="http://schemas.microsoft.com/office/drawing/2014/chart" uri="{C3380CC4-5D6E-409C-BE32-E72D297353CC}">
              <c16:uniqueId val="{00000001-1619-4C88-969E-F2A243E87613}"/>
            </c:ext>
          </c:extLst>
        </c:ser>
        <c:ser>
          <c:idx val="2"/>
          <c:order val="2"/>
          <c:tx>
            <c:v>Sugerencias</c:v>
          </c:tx>
          <c:spPr>
            <a:solidFill>
              <a:schemeClr val="bg1">
                <a:lumMod val="75000"/>
              </a:schemeClr>
            </a:solidFill>
            <a:ln>
              <a:noFill/>
            </a:ln>
            <a:effectLst/>
          </c:spPr>
          <c:invertIfNegative val="0"/>
          <c:dLbls>
            <c:dLbl>
              <c:idx val="0"/>
              <c:layout>
                <c:manualLayout>
                  <c:x val="0.3436426116838488"/>
                  <c:y val="0.27308192457737324"/>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D-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E-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F-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val>
            <c:numRef>
              <c:f>'Reporte Interno'!$D$13:$D$16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619-4C88-969E-F2A243E87613}"/>
            </c:ext>
          </c:extLst>
        </c:ser>
        <c:dLbls>
          <c:showLegendKey val="0"/>
          <c:showVal val="0"/>
          <c:showCatName val="0"/>
          <c:showSerName val="0"/>
          <c:showPercent val="0"/>
          <c:showBubbleSize val="0"/>
        </c:dLbls>
        <c:gapWidth val="182"/>
        <c:axId val="788039656"/>
        <c:axId val="788050096"/>
      </c:barChart>
      <c:catAx>
        <c:axId val="78803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8050096"/>
        <c:crosses val="autoZero"/>
        <c:auto val="1"/>
        <c:lblAlgn val="ctr"/>
        <c:lblOffset val="100"/>
        <c:noMultiLvlLbl val="0"/>
      </c:catAx>
      <c:valAx>
        <c:axId val="78805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8039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5069991251094"/>
          <c:y val="4.9470905653989788E-2"/>
          <c:w val="0.8366270778652668"/>
          <c:h val="0.6851890286736062"/>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0"/>
                  <c:y val="0.2604884814122729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5-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Interno'!$B$19:$B$20</c:f>
              <c:numCache>
                <c:formatCode>General</c:formatCode>
                <c:ptCount val="2"/>
                <c:pt idx="0">
                  <c:v>0</c:v>
                </c:pt>
                <c:pt idx="1">
                  <c:v>0</c:v>
                </c:pt>
              </c:numCache>
            </c:numRef>
          </c:val>
          <c:extLst>
            <c:ext xmlns:c16="http://schemas.microsoft.com/office/drawing/2014/chart" uri="{C3380CC4-5D6E-409C-BE32-E72D297353CC}">
              <c16:uniqueId val="{00000000-6752-448B-9A61-5F4086849DBE}"/>
            </c:ext>
          </c:extLst>
        </c:ser>
        <c:ser>
          <c:idx val="1"/>
          <c:order val="1"/>
          <c:tx>
            <c:v>Reclamaciones</c:v>
          </c:tx>
          <c:spPr>
            <a:solidFill>
              <a:srgbClr val="003870"/>
            </a:solidFill>
            <a:ln>
              <a:noFill/>
            </a:ln>
            <a:effectLst/>
          </c:spPr>
          <c:invertIfNegative val="0"/>
          <c:dLbls>
            <c:dLbl>
              <c:idx val="0"/>
              <c:layout>
                <c:manualLayout>
                  <c:x val="-0.15302504660917693"/>
                  <c:y val="0.341261588696040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4-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Interno'!$C$19:$C$20</c:f>
              <c:numCache>
                <c:formatCode>General</c:formatCode>
                <c:ptCount val="2"/>
                <c:pt idx="0">
                  <c:v>12</c:v>
                </c:pt>
                <c:pt idx="1">
                  <c:v>0</c:v>
                </c:pt>
              </c:numCache>
            </c:numRef>
          </c:val>
          <c:extLst>
            <c:ext xmlns:c16="http://schemas.microsoft.com/office/drawing/2014/chart" uri="{C3380CC4-5D6E-409C-BE32-E72D297353CC}">
              <c16:uniqueId val="{00000001-6752-448B-9A61-5F4086849DBE}"/>
            </c:ext>
          </c:extLst>
        </c:ser>
        <c:ser>
          <c:idx val="2"/>
          <c:order val="2"/>
          <c:tx>
            <c:v>Sugerencia</c:v>
          </c:tx>
          <c:spPr>
            <a:solidFill>
              <a:schemeClr val="accent3"/>
            </a:solidFill>
            <a:ln>
              <a:noFill/>
            </a:ln>
            <a:effectLst/>
          </c:spPr>
          <c:invertIfNegative val="0"/>
          <c:dLbls>
            <c:dLbl>
              <c:idx val="0"/>
              <c:layout>
                <c:manualLayout>
                  <c:x val="0.10277769795511756"/>
                  <c:y val="0.40890118753765703"/>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3-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Interno'!$D$19:$D$20</c:f>
              <c:numCache>
                <c:formatCode>General</c:formatCode>
                <c:ptCount val="2"/>
                <c:pt idx="0">
                  <c:v>0</c:v>
                </c:pt>
                <c:pt idx="1">
                  <c:v>0</c:v>
                </c:pt>
              </c:numCache>
            </c:numRef>
          </c:val>
          <c:extLst>
            <c:ext xmlns:c16="http://schemas.microsoft.com/office/drawing/2014/chart" uri="{C3380CC4-5D6E-409C-BE32-E72D297353CC}">
              <c16:uniqueId val="{00000002-6752-448B-9A61-5F4086849DBE}"/>
            </c:ext>
          </c:extLst>
        </c:ser>
        <c:dLbls>
          <c:showLegendKey val="0"/>
          <c:showVal val="0"/>
          <c:showCatName val="0"/>
          <c:showSerName val="0"/>
          <c:showPercent val="0"/>
          <c:showBubbleSize val="0"/>
        </c:dLbls>
        <c:gapWidth val="182"/>
        <c:axId val="1092735568"/>
        <c:axId val="1092733768"/>
      </c:barChart>
      <c:catAx>
        <c:axId val="1092735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2733768"/>
        <c:crosses val="autoZero"/>
        <c:auto val="1"/>
        <c:lblAlgn val="ctr"/>
        <c:lblOffset val="100"/>
        <c:noMultiLvlLbl val="0"/>
      </c:catAx>
      <c:valAx>
        <c:axId val="1092733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9273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Procedencia</a:t>
            </a:r>
          </a:p>
        </c:rich>
      </c:tx>
      <c:layout>
        <c:manualLayout>
          <c:xMode val="edge"/>
          <c:yMode val="edge"/>
          <c:x val="0.37870751864054997"/>
          <c:y val="2.751296712910886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s-ES"/>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FF7A-4021-B54F-5E78E1ACCBDA}"/>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FF7A-4021-B54F-5E78E1ACCBD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F7A-4021-B54F-5E78E1ACCBDA}"/>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FF7A-4021-B54F-5E78E1ACCBDA}"/>
              </c:ext>
            </c:extLst>
          </c:dPt>
          <c:dLbls>
            <c:dLbl>
              <c:idx val="0"/>
              <c:layout>
                <c:manualLayout>
                  <c:x val="-0.11622695371905795"/>
                  <c:y val="-0.1665162948381452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7A-4021-B54F-5E78E1ACCBDA}"/>
                </c:ext>
              </c:extLst>
            </c:dLbl>
            <c:dLbl>
              <c:idx val="1"/>
              <c:layout>
                <c:manualLayout>
                  <c:x val="-1.173152948155491E-2"/>
                  <c:y val="-1.2062945256842894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7A-4021-B54F-5E78E1ACCBDA}"/>
                </c:ext>
              </c:extLst>
            </c:dLbl>
            <c:dLbl>
              <c:idx val="2"/>
              <c:layout>
                <c:manualLayout>
                  <c:x val="-1.1267161293734951E-2"/>
                  <c:y val="-6.72728408948881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7A-4021-B54F-5E78E1ACCBDA}"/>
                </c:ext>
              </c:extLst>
            </c:dLbl>
            <c:dLbl>
              <c:idx val="3"/>
              <c:layout>
                <c:manualLayout>
                  <c:x val="0.12508187023180892"/>
                  <c:y val="-3.136834458192725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7A-4021-B54F-5E78E1ACCBD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s-E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Interno'!$A$13:$A$16</c:f>
              <c:strCache>
                <c:ptCount val="4"/>
                <c:pt idx="0">
                  <c:v>Buzón Web</c:v>
                </c:pt>
                <c:pt idx="1">
                  <c:v>Línea 311</c:v>
                </c:pt>
                <c:pt idx="2">
                  <c:v>Correo Electrónico</c:v>
                </c:pt>
                <c:pt idx="3">
                  <c:v>Buzón Físico</c:v>
                </c:pt>
              </c:strCache>
            </c:strRef>
          </c:cat>
          <c:val>
            <c:numRef>
              <c:f>'Reporte Interno'!$E$13:$E$16</c:f>
              <c:numCache>
                <c:formatCode>General</c:formatCode>
                <c:ptCount val="4"/>
                <c:pt idx="0">
                  <c:v>9</c:v>
                </c:pt>
                <c:pt idx="1">
                  <c:v>0</c:v>
                </c:pt>
                <c:pt idx="2">
                  <c:v>3</c:v>
                </c:pt>
                <c:pt idx="3">
                  <c:v>0</c:v>
                </c:pt>
              </c:numCache>
            </c:numRef>
          </c:val>
          <c:extLst>
            <c:ext xmlns:c16="http://schemas.microsoft.com/office/drawing/2014/chart" uri="{C3380CC4-5D6E-409C-BE32-E72D297353CC}">
              <c16:uniqueId val="{00000006-FF7A-4021-B54F-5E78E1ACCBD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7358453733961733E-2"/>
          <c:y val="0.85701787724720513"/>
          <c:w val="0.92782097468100921"/>
          <c:h val="0.11262498416409109"/>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tifex CF Light" panose="00000400000000000000" pitchFamily="50"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RQS 2022.xlsx]Reporte dinámico!TablaDinámica3</c:name>
    <c:fmtId val="16"/>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Incidencias por Servicio</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E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50800" cap="rnd">
            <a:solidFill>
              <a:srgbClr val="003870"/>
            </a:solidFill>
            <a:round/>
          </a:ln>
          <a:effectLst/>
        </c:spPr>
        <c:marker>
          <c:symbol val="circle"/>
          <c:size val="10"/>
          <c:spPr>
            <a:solidFill>
              <a:srgbClr val="1CCAD8"/>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'Reporte dinámico'!$E$5</c:f>
              <c:strCache>
                <c:ptCount val="1"/>
                <c:pt idx="0">
                  <c:v>Total</c:v>
                </c:pt>
              </c:strCache>
            </c:strRef>
          </c:tx>
          <c:spPr>
            <a:ln w="50800" cap="rnd">
              <a:solidFill>
                <a:srgbClr val="003870"/>
              </a:solidFill>
              <a:round/>
            </a:ln>
            <a:effectLst/>
          </c:spPr>
          <c:marker>
            <c:symbol val="circle"/>
            <c:size val="10"/>
            <c:spPr>
              <a:solidFill>
                <a:srgbClr val="1CCAD8"/>
              </a:solidFill>
              <a:ln w="9525">
                <a:noFill/>
              </a:ln>
              <a:effectLst/>
            </c:spPr>
          </c:marker>
          <c:cat>
            <c:strRef>
              <c:f>'Reporte dinámico'!$A$6:$D$14</c:f>
              <c:strCache>
                <c:ptCount val="8"/>
                <c:pt idx="0">
                  <c:v>Autorización de Ordenes de pago</c:v>
                </c:pt>
                <c:pt idx="1">
                  <c:v>Certificaciones de Cargos</c:v>
                </c:pt>
                <c:pt idx="2">
                  <c:v>Concursos de oposición</c:v>
                </c:pt>
                <c:pt idx="3">
                  <c:v>Consulta de Libramiento</c:v>
                </c:pt>
                <c:pt idx="4">
                  <c:v>Correspondencia</c:v>
                </c:pt>
                <c:pt idx="5">
                  <c:v>Departamento de Auditoría</c:v>
                </c:pt>
                <c:pt idx="6">
                  <c:v>Pago SNS</c:v>
                </c:pt>
                <c:pt idx="7">
                  <c:v>Servicios Personales</c:v>
                </c:pt>
              </c:strCache>
            </c:strRef>
          </c:cat>
          <c:val>
            <c:numRef>
              <c:f>'Reporte dinámico'!$E$6:$E$14</c:f>
              <c:numCache>
                <c:formatCode>General</c:formatCode>
                <c:ptCount val="8"/>
                <c:pt idx="0">
                  <c:v>3</c:v>
                </c:pt>
                <c:pt idx="1">
                  <c:v>27</c:v>
                </c:pt>
                <c:pt idx="2">
                  <c:v>1</c:v>
                </c:pt>
                <c:pt idx="3">
                  <c:v>1</c:v>
                </c:pt>
                <c:pt idx="4">
                  <c:v>1</c:v>
                </c:pt>
                <c:pt idx="5">
                  <c:v>1</c:v>
                </c:pt>
                <c:pt idx="6">
                  <c:v>1</c:v>
                </c:pt>
                <c:pt idx="7">
                  <c:v>1</c:v>
                </c:pt>
              </c:numCache>
            </c:numRef>
          </c:val>
          <c:smooth val="0"/>
          <c:extLst>
            <c:ext xmlns:c16="http://schemas.microsoft.com/office/drawing/2014/chart" uri="{C3380CC4-5D6E-409C-BE32-E72D297353CC}">
              <c16:uniqueId val="{00000000-7BFB-460F-BF73-3CD33B99870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38351672"/>
        <c:axId val="338350952"/>
      </c:lineChart>
      <c:catAx>
        <c:axId val="33835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38350952"/>
        <c:crosses val="autoZero"/>
        <c:auto val="1"/>
        <c:lblAlgn val="ctr"/>
        <c:lblOffset val="100"/>
        <c:tickLblSkip val="1"/>
        <c:noMultiLvlLbl val="0"/>
      </c:catAx>
      <c:valAx>
        <c:axId val="33835095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a:t>
                </a:r>
                <a:r>
                  <a:rPr lang="es-DO" b="1" baseline="0">
                    <a:solidFill>
                      <a:sysClr val="windowText" lastClr="000000"/>
                    </a:solidFill>
                  </a:rPr>
                  <a:t> de incidencias</a:t>
                </a:r>
                <a:endParaRPr lang="es-DO"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E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38351672"/>
        <c:crossesAt val="1"/>
        <c:crossBetween val="between"/>
        <c:majorUnit val="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RQS 2022.xlsx]Reporte dinámico!TablaDinámica4</c:name>
    <c:fmtId val="18"/>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Tiempo</a:t>
            </a:r>
            <a:r>
              <a:rPr lang="en-US" sz="1400" b="1" baseline="0">
                <a:solidFill>
                  <a:srgbClr val="273043"/>
                </a:solidFill>
              </a:rPr>
              <a:t> de Respuesta a Resolución de Incidencias</a:t>
            </a:r>
            <a:endParaRPr lang="en-US" sz="1400" b="1">
              <a:solidFill>
                <a:srgbClr val="273043"/>
              </a:solidFill>
            </a:endParaRPr>
          </a:p>
        </c:rich>
      </c:tx>
      <c:layout>
        <c:manualLayout>
          <c:xMode val="edge"/>
          <c:yMode val="edge"/>
          <c:x val="0.16113521098396771"/>
          <c:y val="2.828629592068552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3870"/>
          </a:solidFill>
          <a:ln>
            <a:noFill/>
          </a:ln>
          <a:effectLst/>
        </c:spPr>
      </c:pivotFmt>
      <c:pivotFmt>
        <c:idx val="4"/>
        <c:spPr>
          <a:solidFill>
            <a:srgbClr val="7D83FF"/>
          </a:solidFill>
          <a:ln>
            <a:noFill/>
          </a:ln>
          <a:effectLst/>
        </c:spPr>
      </c:pivotFmt>
      <c:pivotFmt>
        <c:idx val="5"/>
        <c:spPr>
          <a:solidFill>
            <a:srgbClr val="003870"/>
          </a:solidFill>
          <a:ln>
            <a:noFill/>
          </a:ln>
          <a:effectLst/>
        </c:spPr>
      </c:pivotFmt>
      <c:pivotFmt>
        <c:idx val="6"/>
        <c:spPr>
          <a:solidFill>
            <a:srgbClr val="7D83FF"/>
          </a:solidFill>
          <a:ln>
            <a:noFill/>
          </a:ln>
          <a:effectLst/>
        </c:spPr>
      </c:pivotFmt>
      <c:pivotFmt>
        <c:idx val="7"/>
        <c:spPr>
          <a:solidFill>
            <a:srgbClr val="003870"/>
          </a:solidFill>
          <a:ln>
            <a:noFill/>
          </a:ln>
          <a:effectLst/>
        </c:spPr>
      </c:pivotFmt>
      <c:pivotFmt>
        <c:idx val="8"/>
        <c:spPr>
          <a:solidFill>
            <a:srgbClr val="003870"/>
          </a:solidFill>
          <a:ln>
            <a:noFill/>
          </a:ln>
          <a:effectLst/>
        </c:spPr>
      </c:pivotFmt>
      <c:pivotFmt>
        <c:idx val="9"/>
        <c:spPr>
          <a:solidFill>
            <a:srgbClr val="7D83FF"/>
          </a:solidFill>
          <a:ln>
            <a:noFill/>
          </a:ln>
          <a:effectLst/>
        </c:spPr>
      </c:pivotFmt>
    </c:pivotFmts>
    <c:plotArea>
      <c:layout/>
      <c:barChart>
        <c:barDir val="col"/>
        <c:grouping val="clustered"/>
        <c:varyColors val="0"/>
        <c:ser>
          <c:idx val="0"/>
          <c:order val="0"/>
          <c:tx>
            <c:strRef>
              <c:f>'Reporte dinámico'!$I$5</c:f>
              <c:strCache>
                <c:ptCount val="1"/>
                <c:pt idx="0">
                  <c:v>Total</c:v>
                </c:pt>
              </c:strCache>
            </c:strRef>
          </c:tx>
          <c:spPr>
            <a:solidFill>
              <a:schemeClr val="accent1"/>
            </a:solidFill>
            <a:ln>
              <a:noFill/>
            </a:ln>
            <a:effectLst/>
          </c:spPr>
          <c:invertIfNegative val="0"/>
          <c:dPt>
            <c:idx val="0"/>
            <c:invertIfNegative val="0"/>
            <c:bubble3D val="0"/>
            <c:spPr>
              <a:solidFill>
                <a:srgbClr val="003870"/>
              </a:solidFill>
              <a:ln>
                <a:noFill/>
              </a:ln>
              <a:effectLst/>
            </c:spPr>
          </c:dPt>
          <c:dPt>
            <c:idx val="1"/>
            <c:invertIfNegative val="0"/>
            <c:bubble3D val="0"/>
            <c:spPr>
              <a:solidFill>
                <a:srgbClr val="7D83FF"/>
              </a:solidFill>
              <a:ln>
                <a:noFill/>
              </a:ln>
              <a:effectLst/>
            </c:spPr>
          </c:dPt>
          <c:dPt>
            <c:idx val="4"/>
            <c:invertIfNegative val="0"/>
            <c:bubble3D val="0"/>
            <c:spPr>
              <a:solidFill>
                <a:srgbClr val="003870"/>
              </a:solidFill>
              <a:ln>
                <a:noFill/>
              </a:ln>
              <a:effectLst/>
            </c:spPr>
          </c:dPt>
          <c:dPt>
            <c:idx val="5"/>
            <c:invertIfNegative val="0"/>
            <c:bubble3D val="0"/>
            <c:spPr>
              <a:solidFill>
                <a:srgbClr val="7D83FF"/>
              </a:solidFill>
              <a:ln>
                <a:noFill/>
              </a:ln>
              <a:effectLst/>
            </c:spPr>
          </c:dPt>
          <c:dPt>
            <c:idx val="6"/>
            <c:invertIfNegative val="0"/>
            <c:bubble3D val="0"/>
            <c:spPr>
              <a:solidFill>
                <a:srgbClr val="00387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dinámico'!$H$6:$H$14</c:f>
              <c:strCache>
                <c:ptCount val="8"/>
                <c:pt idx="0">
                  <c:v>0</c:v>
                </c:pt>
                <c:pt idx="1">
                  <c:v>1</c:v>
                </c:pt>
                <c:pt idx="2">
                  <c:v>10</c:v>
                </c:pt>
                <c:pt idx="3">
                  <c:v>15</c:v>
                </c:pt>
                <c:pt idx="4">
                  <c:v>2</c:v>
                </c:pt>
                <c:pt idx="5">
                  <c:v>3</c:v>
                </c:pt>
                <c:pt idx="6">
                  <c:v>4</c:v>
                </c:pt>
                <c:pt idx="7">
                  <c:v>5</c:v>
                </c:pt>
              </c:strCache>
            </c:strRef>
          </c:cat>
          <c:val>
            <c:numRef>
              <c:f>'Reporte dinámico'!$I$6:$I$14</c:f>
              <c:numCache>
                <c:formatCode>General</c:formatCode>
                <c:ptCount val="8"/>
                <c:pt idx="0">
                  <c:v>7</c:v>
                </c:pt>
                <c:pt idx="1">
                  <c:v>12</c:v>
                </c:pt>
                <c:pt idx="2">
                  <c:v>1</c:v>
                </c:pt>
                <c:pt idx="3">
                  <c:v>1</c:v>
                </c:pt>
                <c:pt idx="4">
                  <c:v>3</c:v>
                </c:pt>
                <c:pt idx="5">
                  <c:v>3</c:v>
                </c:pt>
                <c:pt idx="6">
                  <c:v>1</c:v>
                </c:pt>
                <c:pt idx="7">
                  <c:v>2</c:v>
                </c:pt>
              </c:numCache>
            </c:numRef>
          </c:val>
          <c:extLst>
            <c:ext xmlns:c16="http://schemas.microsoft.com/office/drawing/2014/chart" uri="{C3380CC4-5D6E-409C-BE32-E72D297353CC}">
              <c16:uniqueId val="{0000000D-5C37-4247-A366-C59507F0FA34}"/>
            </c:ext>
          </c:extLst>
        </c:ser>
        <c:dLbls>
          <c:showLegendKey val="0"/>
          <c:showVal val="0"/>
          <c:showCatName val="0"/>
          <c:showSerName val="0"/>
          <c:showPercent val="0"/>
          <c:showBubbleSize val="0"/>
        </c:dLbls>
        <c:gapWidth val="150"/>
        <c:axId val="741655624"/>
        <c:axId val="741655984"/>
      </c:barChart>
      <c:catAx>
        <c:axId val="74165562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Tiempo de respuesta (días)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741655984"/>
        <c:crosses val="autoZero"/>
        <c:auto val="1"/>
        <c:lblAlgn val="ctr"/>
        <c:lblOffset val="100"/>
        <c:noMultiLvlLbl val="0"/>
      </c:catAx>
      <c:valAx>
        <c:axId val="741655984"/>
        <c:scaling>
          <c:orientation val="minMax"/>
          <c:min val="0"/>
        </c:scaling>
        <c:delete val="1"/>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 de Incidencias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ES"/>
            </a:p>
          </c:txPr>
        </c:title>
        <c:numFmt formatCode="General" sourceLinked="1"/>
        <c:majorTickMark val="out"/>
        <c:minorTickMark val="none"/>
        <c:tickLblPos val="nextTo"/>
        <c:crossAx val="741655624"/>
        <c:crosses val="autoZero"/>
        <c:crossBetween val="between"/>
        <c:majorUnit val="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RQS 2022.xlsx]Reporte dinámico!TablaDinámica2</c:name>
    <c:fmtId val="17"/>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Porcentaje</a:t>
            </a:r>
            <a:r>
              <a:rPr lang="en-US" sz="1400" b="1" baseline="0">
                <a:solidFill>
                  <a:srgbClr val="273043"/>
                </a:solidFill>
              </a:rPr>
              <a:t> de Incidencias</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s-E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rgbClr val="1CCAD8"/>
          </a:solidFill>
          <a:ln w="19050">
            <a:solidFill>
              <a:schemeClr val="lt1"/>
            </a:solidFill>
          </a:ln>
          <a:effectLst/>
        </c:spPr>
        <c:dLbl>
          <c:idx val="0"/>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DCEDC6B7-5EE8-4871-A824-77A3554505B7}" type="PERCENTAGE">
                  <a:rPr lang="en-US">
                    <a:solidFill>
                      <a:srgbClr val="273043"/>
                    </a:solidFill>
                  </a:rPr>
                  <a:pPr>
                    <a:defRPr sz="1400" b="1">
                      <a:solidFill>
                        <a:schemeClr val="bg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15:dlblFieldTable/>
              <c15:showDataLabelsRange val="0"/>
            </c:ext>
          </c:extLst>
        </c:dLbl>
      </c:pivotFmt>
      <c:pivotFmt>
        <c:idx val="8"/>
        <c:spPr>
          <a:solidFill>
            <a:srgbClr val="003870"/>
          </a:solidFill>
          <a:ln w="19050">
            <a:solidFill>
              <a:schemeClr val="lt1"/>
            </a:solidFill>
          </a:ln>
          <a:effectLst>
            <a:softEdge rad="0"/>
          </a:effectLst>
        </c:spPr>
      </c:pivotFmt>
    </c:pivotFmts>
    <c:plotArea>
      <c:layout/>
      <c:pieChart>
        <c:varyColors val="1"/>
        <c:ser>
          <c:idx val="0"/>
          <c:order val="0"/>
          <c:tx>
            <c:strRef>
              <c:f>'Reporte dinámico'!$L$5</c:f>
              <c:strCache>
                <c:ptCount val="1"/>
                <c:pt idx="0">
                  <c:v>Total</c:v>
                </c:pt>
              </c:strCache>
            </c:strRef>
          </c:tx>
          <c:dPt>
            <c:idx val="0"/>
            <c:bubble3D val="0"/>
            <c:spPr>
              <a:solidFill>
                <a:srgbClr val="1CCAD8"/>
              </a:solidFill>
              <a:ln w="19050">
                <a:solidFill>
                  <a:schemeClr val="lt1"/>
                </a:solidFill>
              </a:ln>
              <a:effectLst/>
            </c:spPr>
            <c:extLst>
              <c:ext xmlns:c16="http://schemas.microsoft.com/office/drawing/2014/chart" uri="{C3380CC4-5D6E-409C-BE32-E72D297353CC}">
                <c16:uniqueId val="{00000001-C9DB-4EF9-928F-19D68ECE7BF9}"/>
              </c:ext>
            </c:extLst>
          </c:dPt>
          <c:dPt>
            <c:idx val="1"/>
            <c:bubble3D val="0"/>
            <c:spPr>
              <a:solidFill>
                <a:srgbClr val="003870"/>
              </a:solidFill>
              <a:ln w="19050">
                <a:solidFill>
                  <a:schemeClr val="lt1"/>
                </a:solidFill>
              </a:ln>
              <a:effectLst>
                <a:softEdge rad="0"/>
              </a:effectLst>
            </c:spPr>
            <c:extLst>
              <c:ext xmlns:c16="http://schemas.microsoft.com/office/drawing/2014/chart" uri="{C3380CC4-5D6E-409C-BE32-E72D297353CC}">
                <c16:uniqueId val="{00000003-C9DB-4EF9-928F-19D68ECE7BF9}"/>
              </c:ext>
            </c:extLst>
          </c:dPt>
          <c:dLbls>
            <c:dLbl>
              <c:idx val="0"/>
              <c:tx>
                <c:rich>
                  <a:bodyPr/>
                  <a:lstStyle/>
                  <a:p>
                    <a:fld id="{DCEDC6B7-5EE8-4871-A824-77A3554505B7}" type="PERCENTAGE">
                      <a:rPr lang="en-US">
                        <a:solidFill>
                          <a:srgbClr val="273043"/>
                        </a:solidFill>
                      </a:rPr>
                      <a:pPr/>
                      <a:t>[PORCENTAJE]</a:t>
                    </a:fld>
                    <a:endParaRPr lang="es-ES"/>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9DB-4EF9-928F-19D68ECE7B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dinámico'!$K$6:$K$8</c:f>
              <c:strCache>
                <c:ptCount val="2"/>
                <c:pt idx="0">
                  <c:v>Queja</c:v>
                </c:pt>
                <c:pt idx="1">
                  <c:v>Reclamación</c:v>
                </c:pt>
              </c:strCache>
            </c:strRef>
          </c:cat>
          <c:val>
            <c:numRef>
              <c:f>'Reporte dinámico'!$L$6:$L$8</c:f>
              <c:numCache>
                <c:formatCode>General</c:formatCode>
                <c:ptCount val="2"/>
                <c:pt idx="0">
                  <c:v>7</c:v>
                </c:pt>
                <c:pt idx="1">
                  <c:v>29</c:v>
                </c:pt>
              </c:numCache>
            </c:numRef>
          </c:val>
          <c:extLst>
            <c:ext xmlns:c16="http://schemas.microsoft.com/office/drawing/2014/chart" uri="{C3380CC4-5D6E-409C-BE32-E72D297353CC}">
              <c16:uniqueId val="{00000004-2EE8-4C14-8561-4EAF1149967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[Gestión RQS 2022.xlsx]Reporte dinámico!TablaDinámica5</c:name>
    <c:fmtId val="20"/>
  </c:pivotSource>
  <c:chart>
    <c:title>
      <c:tx>
        <c:rich>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r>
              <a:rPr lang="en-US" sz="1400" b="1">
                <a:solidFill>
                  <a:srgbClr val="273043"/>
                </a:solidFill>
              </a:rPr>
              <a:t>Cumplimiento de</a:t>
            </a:r>
            <a:r>
              <a:rPr lang="en-US" sz="1400" b="1" baseline="0">
                <a:solidFill>
                  <a:srgbClr val="273043"/>
                </a:solidFill>
              </a:rPr>
              <a:t> Tiempo de Respuesta</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endParaRPr lang="es-E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rgbClr val="2E4057"/>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rgbClr val="003870"/>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1"/>
          <c:extLst>
            <c:ext xmlns:c15="http://schemas.microsoft.com/office/drawing/2012/chart" uri="{CE6537A1-D6FC-4f65-9D91-7224C49458BB}"/>
          </c:extLst>
        </c:dLbl>
      </c:pivotFmt>
      <c:pivotFmt>
        <c:idx val="5"/>
        <c:spPr>
          <a:solidFill>
            <a:srgbClr val="1CCAD8"/>
          </a:solidFill>
          <a:ln w="19050">
            <a:solidFill>
              <a:schemeClr val="lt1"/>
            </a:solidFill>
          </a:ln>
          <a:effectLst/>
        </c:spPr>
        <c:dLbl>
          <c:idx val="0"/>
          <c:layout>
            <c:manualLayout>
              <c:x val="-5.6394286520365003E-2"/>
              <c:y val="-1.486631652114440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8.0453530931501857E-2"/>
          <c:y val="0.28464935267682906"/>
          <c:w val="0.53852624419068584"/>
          <c:h val="0.66384840985307647"/>
        </c:manualLayout>
      </c:layout>
      <c:pieChart>
        <c:varyColors val="1"/>
        <c:ser>
          <c:idx val="0"/>
          <c:order val="0"/>
          <c:tx>
            <c:strRef>
              <c:f>'Reporte dinámico'!$L$15</c:f>
              <c:strCache>
                <c:ptCount val="1"/>
                <c:pt idx="0">
                  <c:v>Total</c:v>
                </c:pt>
              </c:strCache>
            </c:strRef>
          </c:tx>
          <c:spPr>
            <a:solidFill>
              <a:srgbClr val="2E4057"/>
            </a:solidFill>
          </c:spPr>
          <c:dPt>
            <c:idx val="0"/>
            <c:bubble3D val="0"/>
            <c:spPr>
              <a:solidFill>
                <a:srgbClr val="003870"/>
              </a:solidFill>
              <a:ln w="19050">
                <a:solidFill>
                  <a:schemeClr val="lt1"/>
                </a:solidFill>
              </a:ln>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ES"/>
                </a:p>
              </c:txPr>
              <c:showLegendKey val="0"/>
              <c:showVal val="0"/>
              <c:showCatName val="0"/>
              <c:showSerName val="0"/>
              <c:showPercent val="1"/>
              <c:showBubbleSiz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dinámico'!$K$16:$K$17</c:f>
              <c:strCache>
                <c:ptCount val="1"/>
                <c:pt idx="0">
                  <c:v>A tiempo</c:v>
                </c:pt>
              </c:strCache>
            </c:strRef>
          </c:cat>
          <c:val>
            <c:numRef>
              <c:f>'Reporte dinámico'!$L$16:$L$17</c:f>
              <c:numCache>
                <c:formatCode>General</c:formatCode>
                <c:ptCount val="1"/>
                <c:pt idx="0">
                  <c:v>40</c:v>
                </c:pt>
              </c:numCache>
            </c:numRef>
          </c:val>
          <c:extLst>
            <c:ext xmlns:c16="http://schemas.microsoft.com/office/drawing/2014/chart" uri="{C3380CC4-5D6E-409C-BE32-E72D297353CC}">
              <c16:uniqueId val="{00000005-37C0-48B1-A9A8-1D6024AB5B9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934987</xdr:colOff>
      <xdr:row>6</xdr:row>
      <xdr:rowOff>136562</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09176"/>
          <a:ext cx="1416107" cy="101077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10</xdr:col>
      <xdr:colOff>833438</xdr:colOff>
      <xdr:row>5</xdr:row>
      <xdr:rowOff>103187</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452813" y="381000"/>
          <a:ext cx="7072313"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RECLAMACIONES, QUEJAS y SUGERENCIAS </a:t>
          </a:r>
          <a:endParaRPr lang="es-ES" sz="1100" b="1">
            <a:latin typeface="Artifex CF Extra Light" panose="00000300000000000000" pitchFamily="50"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250372</xdr:colOff>
      <xdr:row>0</xdr:row>
      <xdr:rowOff>0</xdr:rowOff>
    </xdr:from>
    <xdr:to>
      <xdr:col>13</xdr:col>
      <xdr:colOff>260804</xdr:colOff>
      <xdr:row>5</xdr:row>
      <xdr:rowOff>84721</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1024437" y="0"/>
          <a:ext cx="19062337" cy="959751"/>
          <a:chOff x="-1337552" y="-58924"/>
          <a:chExt cx="10837359" cy="810088"/>
        </a:xfrm>
      </xdr:grpSpPr>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337552" y="-58924"/>
            <a:ext cx="1047599" cy="761120"/>
          </a:xfrm>
          <a:prstGeom prst="rect">
            <a:avLst/>
          </a:prstGeom>
        </xdr:spPr>
      </xdr:pic>
    </xdr:grpSp>
    <xdr:clientData/>
  </xdr:twoCellAnchor>
  <xdr:twoCellAnchor>
    <xdr:from>
      <xdr:col>1</xdr:col>
      <xdr:colOff>10886</xdr:colOff>
      <xdr:row>5</xdr:row>
      <xdr:rowOff>155221</xdr:rowOff>
    </xdr:from>
    <xdr:to>
      <xdr:col>13</xdr:col>
      <xdr:colOff>21772</xdr:colOff>
      <xdr:row>5</xdr:row>
      <xdr:rowOff>163285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805543" y="1080507"/>
          <a:ext cx="1586048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931177</xdr:colOff>
      <xdr:row>6</xdr:row>
      <xdr:rowOff>132752</xdr:rowOff>
    </xdr:to>
    <xdr:pic>
      <xdr:nvPicPr>
        <xdr:cNvPr id="2" name="Imagen 1">
          <a:extLst>
            <a:ext uri="{FF2B5EF4-FFF2-40B4-BE49-F238E27FC236}">
              <a16:creationId xmlns:a16="http://schemas.microsoft.com/office/drawing/2014/main" id="{2461EDBE-8BB0-4A76-8845-E1F151D0B1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12762"/>
          <a:ext cx="1383223" cy="102108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12</xdr:col>
      <xdr:colOff>833438</xdr:colOff>
      <xdr:row>5</xdr:row>
      <xdr:rowOff>103187</xdr:rowOff>
    </xdr:to>
    <xdr:sp macro="" textlink="">
      <xdr:nvSpPr>
        <xdr:cNvPr id="3" name="CuadroTexto 2">
          <a:extLst>
            <a:ext uri="{FF2B5EF4-FFF2-40B4-BE49-F238E27FC236}">
              <a16:creationId xmlns:a16="http://schemas.microsoft.com/office/drawing/2014/main" id="{1F8A9F2C-165F-4D61-AAEC-E1B16EC792BC}"/>
            </a:ext>
          </a:extLst>
        </xdr:cNvPr>
        <xdr:cNvSpPr txBox="1"/>
      </xdr:nvSpPr>
      <xdr:spPr>
        <a:xfrm>
          <a:off x="4143375" y="381635"/>
          <a:ext cx="12768263" cy="635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RECLAMACIONES, QUEJAS y SUGERENCIAS </a:t>
          </a:r>
          <a:endParaRPr lang="es-ES" sz="1100" b="1">
            <a:latin typeface="Artifex CF Extra Light" panose="00000300000000000000" pitchFamily="50" charset="0"/>
          </a:endParaRPr>
        </a:p>
      </xdr:txBody>
    </xdr:sp>
    <xdr:clientData/>
  </xdr:twoCellAnchor>
  <xdr:twoCellAnchor>
    <xdr:from>
      <xdr:col>16</xdr:col>
      <xdr:colOff>193964</xdr:colOff>
      <xdr:row>4</xdr:row>
      <xdr:rowOff>42150</xdr:rowOff>
    </xdr:from>
    <xdr:to>
      <xdr:col>16</xdr:col>
      <xdr:colOff>3559126</xdr:colOff>
      <xdr:row>5</xdr:row>
      <xdr:rowOff>177513</xdr:rowOff>
    </xdr:to>
    <xdr:sp macro="" textlink="">
      <xdr:nvSpPr>
        <xdr:cNvPr id="4" name="CuadroTexto 3">
          <a:extLst>
            <a:ext uri="{FF2B5EF4-FFF2-40B4-BE49-F238E27FC236}">
              <a16:creationId xmlns:a16="http://schemas.microsoft.com/office/drawing/2014/main" id="{351081B5-D9E7-4D20-B781-68E984CD7D4B}"/>
            </a:ext>
          </a:extLst>
        </xdr:cNvPr>
        <xdr:cNvSpPr txBox="1"/>
      </xdr:nvSpPr>
      <xdr:spPr>
        <a:xfrm>
          <a:off x="21211309" y="762586"/>
          <a:ext cx="3365162" cy="315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clientData/>
  </xdr:twoCellAnchor>
  <xdr:twoCellAnchor>
    <xdr:from>
      <xdr:col>16</xdr:col>
      <xdr:colOff>202993</xdr:colOff>
      <xdr:row>2</xdr:row>
      <xdr:rowOff>69273</xdr:rowOff>
    </xdr:from>
    <xdr:to>
      <xdr:col>16</xdr:col>
      <xdr:colOff>3405378</xdr:colOff>
      <xdr:row>4</xdr:row>
      <xdr:rowOff>72054</xdr:rowOff>
    </xdr:to>
    <xdr:sp macro="" textlink="">
      <xdr:nvSpPr>
        <xdr:cNvPr id="5" name="CuadroTexto 4">
          <a:extLst>
            <a:ext uri="{FF2B5EF4-FFF2-40B4-BE49-F238E27FC236}">
              <a16:creationId xmlns:a16="http://schemas.microsoft.com/office/drawing/2014/main" id="{12C0CA22-5201-473F-A6E9-9557959CE756}"/>
            </a:ext>
          </a:extLst>
        </xdr:cNvPr>
        <xdr:cNvSpPr txBox="1"/>
      </xdr:nvSpPr>
      <xdr:spPr>
        <a:xfrm>
          <a:off x="21220338" y="429491"/>
          <a:ext cx="3202385" cy="36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F-DICG-11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929240</xdr:colOff>
      <xdr:row>0</xdr:row>
      <xdr:rowOff>0</xdr:rowOff>
    </xdr:from>
    <xdr:to>
      <xdr:col>17</xdr:col>
      <xdr:colOff>0</xdr:colOff>
      <xdr:row>5</xdr:row>
      <xdr:rowOff>84721</xdr:rowOff>
    </xdr:to>
    <xdr:grpSp>
      <xdr:nvGrpSpPr>
        <xdr:cNvPr id="2" name="Grupo 1">
          <a:extLst>
            <a:ext uri="{FF2B5EF4-FFF2-40B4-BE49-F238E27FC236}">
              <a16:creationId xmlns:a16="http://schemas.microsoft.com/office/drawing/2014/main" id="{A9D57C2C-24A5-4B71-9422-1529CB8A5BED}"/>
            </a:ext>
          </a:extLst>
        </xdr:cNvPr>
        <xdr:cNvGrpSpPr/>
      </xdr:nvGrpSpPr>
      <xdr:grpSpPr>
        <a:xfrm>
          <a:off x="1712368" y="0"/>
          <a:ext cx="20662723" cy="952535"/>
          <a:chOff x="-1689436" y="-58924"/>
          <a:chExt cx="11189243" cy="810088"/>
        </a:xfrm>
      </xdr:grpSpPr>
      <xdr:sp macro="" textlink="">
        <xdr:nvSpPr>
          <xdr:cNvPr id="3" name="CuadroTexto 2">
            <a:extLst>
              <a:ext uri="{FF2B5EF4-FFF2-40B4-BE49-F238E27FC236}">
                <a16:creationId xmlns:a16="http://schemas.microsoft.com/office/drawing/2014/main" id="{50789609-7856-D562-C241-A475CBEEBF09}"/>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4" name="CuadroTexto 3">
            <a:extLst>
              <a:ext uri="{FF2B5EF4-FFF2-40B4-BE49-F238E27FC236}">
                <a16:creationId xmlns:a16="http://schemas.microsoft.com/office/drawing/2014/main" id="{9E82CAB6-FEC5-A8D7-7ADD-FFAAF5BD519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F-DICG-11</a:t>
            </a:r>
          </a:p>
        </xdr:txBody>
      </xdr:sp>
      <xdr:sp macro="" textlink="">
        <xdr:nvSpPr>
          <xdr:cNvPr id="5" name="CuadroTexto 4">
            <a:extLst>
              <a:ext uri="{FF2B5EF4-FFF2-40B4-BE49-F238E27FC236}">
                <a16:creationId xmlns:a16="http://schemas.microsoft.com/office/drawing/2014/main" id="{FA3C80C2-4029-5423-D79E-891F71A55554}"/>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6" name="Imagen 5">
            <a:extLst>
              <a:ext uri="{FF2B5EF4-FFF2-40B4-BE49-F238E27FC236}">
                <a16:creationId xmlns:a16="http://schemas.microsoft.com/office/drawing/2014/main" id="{803A4BE0-FC2D-AEAF-B8F7-F2FF143203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689436" y="-58924"/>
            <a:ext cx="702743" cy="761120"/>
          </a:xfrm>
          <a:prstGeom prst="rect">
            <a:avLst/>
          </a:prstGeom>
        </xdr:spPr>
      </xdr:pic>
    </xdr:grpSp>
    <xdr:clientData/>
  </xdr:twoCellAnchor>
  <xdr:twoCellAnchor>
    <xdr:from>
      <xdr:col>1</xdr:col>
      <xdr:colOff>737554</xdr:colOff>
      <xdr:row>5</xdr:row>
      <xdr:rowOff>155221</xdr:rowOff>
    </xdr:from>
    <xdr:to>
      <xdr:col>16</xdr:col>
      <xdr:colOff>1122215</xdr:colOff>
      <xdr:row>5</xdr:row>
      <xdr:rowOff>163285</xdr:rowOff>
    </xdr:to>
    <xdr:cxnSp macro="">
      <xdr:nvCxnSpPr>
        <xdr:cNvPr id="7" name="Conector recto 6">
          <a:extLst>
            <a:ext uri="{FF2B5EF4-FFF2-40B4-BE49-F238E27FC236}">
              <a16:creationId xmlns:a16="http://schemas.microsoft.com/office/drawing/2014/main" id="{4ACD4029-68D4-44C6-A6F6-7485D73AE780}"/>
            </a:ext>
          </a:extLst>
        </xdr:cNvPr>
        <xdr:cNvCxnSpPr/>
      </xdr:nvCxnSpPr>
      <xdr:spPr>
        <a:xfrm>
          <a:off x="1527263" y="1055766"/>
          <a:ext cx="1944851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502920</xdr:colOff>
      <xdr:row>0</xdr:row>
      <xdr:rowOff>72390</xdr:rowOff>
    </xdr:from>
    <xdr:to>
      <xdr:col>10</xdr:col>
      <xdr:colOff>594360</xdr:colOff>
      <xdr:row>14</xdr:row>
      <xdr:rowOff>72390</xdr:rowOff>
    </xdr:to>
    <xdr:graphicFrame macro="">
      <xdr:nvGraphicFramePr>
        <xdr:cNvPr id="2" name="Gráfico 1">
          <a:extLst>
            <a:ext uri="{FF2B5EF4-FFF2-40B4-BE49-F238E27FC236}">
              <a16:creationId xmlns:a16="http://schemas.microsoft.com/office/drawing/2014/main" id="{1397D93F-451D-0E36-1136-E12E65C18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762000</xdr:colOff>
      <xdr:row>0</xdr:row>
      <xdr:rowOff>68580</xdr:rowOff>
    </xdr:from>
    <xdr:to>
      <xdr:col>15</xdr:col>
      <xdr:colOff>60960</xdr:colOff>
      <xdr:row>14</xdr:row>
      <xdr:rowOff>68580</xdr:rowOff>
    </xdr:to>
    <xdr:graphicFrame macro="">
      <xdr:nvGraphicFramePr>
        <xdr:cNvPr id="5" name="Gráfico 4">
          <a:extLst>
            <a:ext uri="{FF2B5EF4-FFF2-40B4-BE49-F238E27FC236}">
              <a16:creationId xmlns:a16="http://schemas.microsoft.com/office/drawing/2014/main" id="{9370CB6D-13A9-4BE7-B3A3-41C909D4B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14</xdr:row>
      <xdr:rowOff>140970</xdr:rowOff>
    </xdr:from>
    <xdr:to>
      <xdr:col>15</xdr:col>
      <xdr:colOff>60960</xdr:colOff>
      <xdr:row>30</xdr:row>
      <xdr:rowOff>121920</xdr:rowOff>
    </xdr:to>
    <xdr:graphicFrame macro="">
      <xdr:nvGraphicFramePr>
        <xdr:cNvPr id="6" name="Gráfico 5">
          <a:extLst>
            <a:ext uri="{FF2B5EF4-FFF2-40B4-BE49-F238E27FC236}">
              <a16:creationId xmlns:a16="http://schemas.microsoft.com/office/drawing/2014/main" id="{5788E586-DABB-4492-81E3-E5C16D186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251461</xdr:colOff>
      <xdr:row>14</xdr:row>
      <xdr:rowOff>170329</xdr:rowOff>
    </xdr:from>
    <xdr:to>
      <xdr:col>20</xdr:col>
      <xdr:colOff>579121</xdr:colOff>
      <xdr:row>30</xdr:row>
      <xdr:rowOff>125505</xdr:rowOff>
    </xdr:to>
    <xdr:graphicFrame macro="">
      <xdr:nvGraphicFramePr>
        <xdr:cNvPr id="8" name="Gráfico 7">
          <a:extLst>
            <a:ext uri="{FF2B5EF4-FFF2-40B4-BE49-F238E27FC236}">
              <a16:creationId xmlns:a16="http://schemas.microsoft.com/office/drawing/2014/main" id="{E7D303B7-5885-F712-4DBA-7C5C6EE8F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242046</xdr:colOff>
      <xdr:row>0</xdr:row>
      <xdr:rowOff>62752</xdr:rowOff>
    </xdr:from>
    <xdr:to>
      <xdr:col>20</xdr:col>
      <xdr:colOff>571499</xdr:colOff>
      <xdr:row>14</xdr:row>
      <xdr:rowOff>62752</xdr:rowOff>
    </xdr:to>
    <xdr:graphicFrame macro="">
      <xdr:nvGraphicFramePr>
        <xdr:cNvPr id="3" name="Gráfico 2">
          <a:extLst>
            <a:ext uri="{FF2B5EF4-FFF2-40B4-BE49-F238E27FC236}">
              <a16:creationId xmlns:a16="http://schemas.microsoft.com/office/drawing/2014/main" id="{042C2F60-21D9-44B5-B5DB-92634879A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401782</xdr:colOff>
      <xdr:row>25</xdr:row>
      <xdr:rowOff>41565</xdr:rowOff>
    </xdr:from>
    <xdr:to>
      <xdr:col>4</xdr:col>
      <xdr:colOff>2230582</xdr:colOff>
      <xdr:row>30</xdr:row>
      <xdr:rowOff>95696</xdr:rowOff>
    </xdr:to>
    <mc:AlternateContent xmlns:mc="http://schemas.openxmlformats.org/markup-compatibility/2006" xmlns:a14="http://schemas.microsoft.com/office/drawing/2010/main">
      <mc:Choice Requires="a14">
        <xdr:graphicFrame macro="">
          <xdr:nvGraphicFramePr>
            <xdr:cNvPr id="2" name="Estatus">
              <a:extLst>
                <a:ext uri="{FF2B5EF4-FFF2-40B4-BE49-F238E27FC236}">
                  <a16:creationId xmlns:a16="http://schemas.microsoft.com/office/drawing/2014/main" id="{582152F8-5143-41FD-9C97-869570DBCBBE}"/>
                </a:ext>
              </a:extLst>
            </xdr:cNvPr>
            <xdr:cNvGraphicFramePr/>
          </xdr:nvGraphicFramePr>
          <xdr:xfrm>
            <a:off x="0" y="0"/>
            <a:ext cx="0" cy="0"/>
          </xdr:xfrm>
          <a:graphic>
            <a:graphicData uri="http://schemas.microsoft.com/office/drawing/2010/slicer">
              <sle:slicer xmlns:sle="http://schemas.microsoft.com/office/drawing/2010/slicer" name="Estatus"/>
            </a:graphicData>
          </a:graphic>
        </xdr:graphicFrame>
      </mc:Choice>
      <mc:Fallback xmlns="">
        <xdr:sp macro="" textlink="">
          <xdr:nvSpPr>
            <xdr:cNvPr id="0" name=""/>
            <xdr:cNvSpPr>
              <a:spLocks noTextEdit="1"/>
            </xdr:cNvSpPr>
          </xdr:nvSpPr>
          <xdr:spPr>
            <a:xfrm>
              <a:off x="6816437" y="4544292"/>
              <a:ext cx="1828800" cy="947057"/>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327660</xdr:colOff>
      <xdr:row>18</xdr:row>
      <xdr:rowOff>4156</xdr:rowOff>
    </xdr:from>
    <xdr:to>
      <xdr:col>7</xdr:col>
      <xdr:colOff>1311332</xdr:colOff>
      <xdr:row>31</xdr:row>
      <xdr:rowOff>129713</xdr:rowOff>
    </xdr:to>
    <mc:AlternateContent xmlns:mc="http://schemas.openxmlformats.org/markup-compatibility/2006" xmlns:a14="http://schemas.microsoft.com/office/drawing/2010/main">
      <mc:Choice Requires="a14">
        <xdr:graphicFrame macro="">
          <xdr:nvGraphicFramePr>
            <xdr:cNvPr id="3" name="Cliente">
              <a:extLst>
                <a:ext uri="{FF2B5EF4-FFF2-40B4-BE49-F238E27FC236}">
                  <a16:creationId xmlns:a16="http://schemas.microsoft.com/office/drawing/2014/main" id="{E4617821-7A01-CF7A-C8A5-AAA2B87F9088}"/>
                </a:ext>
              </a:extLst>
            </xdr:cNvPr>
            <xdr:cNvGraphicFramePr/>
          </xdr:nvGraphicFramePr>
          <xdr:xfrm>
            <a:off x="0" y="0"/>
            <a:ext cx="0" cy="0"/>
          </xdr:xfrm>
          <a:graphic>
            <a:graphicData uri="http://schemas.microsoft.com/office/drawing/2010/slicer">
              <sle:slicer xmlns:sle="http://schemas.microsoft.com/office/drawing/2010/slicer" name="Cliente"/>
            </a:graphicData>
          </a:graphic>
        </xdr:graphicFrame>
      </mc:Choice>
      <mc:Fallback xmlns="">
        <xdr:sp macro="" textlink="">
          <xdr:nvSpPr>
            <xdr:cNvPr id="0" name=""/>
            <xdr:cNvSpPr>
              <a:spLocks noTextEdit="1"/>
            </xdr:cNvSpPr>
          </xdr:nvSpPr>
          <xdr:spPr>
            <a:xfrm>
              <a:off x="9111442" y="3246120"/>
              <a:ext cx="1828800" cy="2466975"/>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3</xdr:row>
      <xdr:rowOff>8965</xdr:rowOff>
    </xdr:from>
    <xdr:to>
      <xdr:col>6</xdr:col>
      <xdr:colOff>356923</xdr:colOff>
      <xdr:row>17</xdr:row>
      <xdr:rowOff>177639</xdr:rowOff>
    </xdr:to>
    <xdr:graphicFrame macro="">
      <xdr:nvGraphicFramePr>
        <xdr:cNvPr id="2" name="Gráfico 1">
          <a:extLst>
            <a:ext uri="{FF2B5EF4-FFF2-40B4-BE49-F238E27FC236}">
              <a16:creationId xmlns:a16="http://schemas.microsoft.com/office/drawing/2014/main" id="{8143415D-1FA3-44F4-939C-AD3F4443946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505828</xdr:colOff>
      <xdr:row>3</xdr:row>
      <xdr:rowOff>1</xdr:rowOff>
    </xdr:from>
    <xdr:to>
      <xdr:col>12</xdr:col>
      <xdr:colOff>491651</xdr:colOff>
      <xdr:row>11</xdr:row>
      <xdr:rowOff>125051</xdr:rowOff>
    </xdr:to>
    <mc:AlternateContent xmlns:mc="http://schemas.openxmlformats.org/markup-compatibility/2006" xmlns:a14="http://schemas.microsoft.com/office/drawing/2010/main">
      <mc:Choice Requires="a14">
        <xdr:graphicFrame macro="">
          <xdr:nvGraphicFramePr>
            <xdr:cNvPr id="3" name="Trimestre">
              <a:extLst>
                <a:ext uri="{FF2B5EF4-FFF2-40B4-BE49-F238E27FC236}">
                  <a16:creationId xmlns:a16="http://schemas.microsoft.com/office/drawing/2014/main" id="{963A8E99-CBAD-4521-A3A5-7C29FBDBBDDA}"/>
                </a:ext>
              </a:extLst>
            </xdr:cNvPr>
            <xdr:cNvGraphicFramePr/>
          </xdr:nvGraphicFramePr>
          <xdr:xfrm>
            <a:off x="0" y="0"/>
            <a:ext cx="0" cy="0"/>
          </xdr:xfrm>
          <a:graphic>
            <a:graphicData uri="http://schemas.microsoft.com/office/drawing/2010/slicer">
              <sle:slicer xmlns:sle="http://schemas.microsoft.com/office/drawing/2010/slicer" name="Trimestre"/>
            </a:graphicData>
          </a:graphic>
        </xdr:graphicFrame>
      </mc:Choice>
      <mc:Fallback xmlns="">
        <xdr:sp macro="" textlink="">
          <xdr:nvSpPr>
            <xdr:cNvPr id="0" name=""/>
            <xdr:cNvSpPr>
              <a:spLocks noTextEdit="1"/>
            </xdr:cNvSpPr>
          </xdr:nvSpPr>
          <xdr:spPr>
            <a:xfrm>
              <a:off x="8411578" y="419101"/>
              <a:ext cx="1566973" cy="1572850"/>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500921</xdr:colOff>
      <xdr:row>2</xdr:row>
      <xdr:rowOff>51725</xdr:rowOff>
    </xdr:from>
    <xdr:to>
      <xdr:col>15</xdr:col>
      <xdr:colOff>0</xdr:colOff>
      <xdr:row>11</xdr:row>
      <xdr:rowOff>123566</xdr:rowOff>
    </xdr:to>
    <mc:AlternateContent xmlns:mc="http://schemas.openxmlformats.org/markup-compatibility/2006" xmlns:a14="http://schemas.microsoft.com/office/drawing/2010/main">
      <mc:Choice Requires="a14">
        <xdr:graphicFrame macro="">
          <xdr:nvGraphicFramePr>
            <xdr:cNvPr id="5" name="Procedencia">
              <a:extLst>
                <a:ext uri="{FF2B5EF4-FFF2-40B4-BE49-F238E27FC236}">
                  <a16:creationId xmlns:a16="http://schemas.microsoft.com/office/drawing/2014/main" id="{9676D8DA-3C42-4533-A6B2-10FC586E5F9C}"/>
                </a:ext>
              </a:extLst>
            </xdr:cNvPr>
            <xdr:cNvGraphicFramePr/>
          </xdr:nvGraphicFramePr>
          <xdr:xfrm>
            <a:off x="0" y="0"/>
            <a:ext cx="0" cy="0"/>
          </xdr:xfrm>
          <a:graphic>
            <a:graphicData uri="http://schemas.microsoft.com/office/drawing/2010/slicer">
              <sle:slicer xmlns:sle="http://schemas.microsoft.com/office/drawing/2010/slicer" name="Procedencia"/>
            </a:graphicData>
          </a:graphic>
        </xdr:graphicFrame>
      </mc:Choice>
      <mc:Fallback xmlns="">
        <xdr:sp macro="" textlink="">
          <xdr:nvSpPr>
            <xdr:cNvPr id="0" name=""/>
            <xdr:cNvSpPr>
              <a:spLocks noTextEdit="1"/>
            </xdr:cNvSpPr>
          </xdr:nvSpPr>
          <xdr:spPr>
            <a:xfrm>
              <a:off x="9987821" y="413675"/>
              <a:ext cx="1413604" cy="1576791"/>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10</xdr:col>
      <xdr:colOff>495982</xdr:colOff>
      <xdr:row>11</xdr:row>
      <xdr:rowOff>21772</xdr:rowOff>
    </xdr:from>
    <xdr:to>
      <xdr:col>15</xdr:col>
      <xdr:colOff>0</xdr:colOff>
      <xdr:row>27</xdr:row>
      <xdr:rowOff>152400</xdr:rowOff>
    </xdr:to>
    <mc:AlternateContent xmlns:mc="http://schemas.openxmlformats.org/markup-compatibility/2006" xmlns:a14="http://schemas.microsoft.com/office/drawing/2010/main">
      <mc:Choice Requires="a14">
        <xdr:graphicFrame macro="">
          <xdr:nvGraphicFramePr>
            <xdr:cNvPr id="4" name="Área Responsable">
              <a:extLst>
                <a:ext uri="{FF2B5EF4-FFF2-40B4-BE49-F238E27FC236}">
                  <a16:creationId xmlns:a16="http://schemas.microsoft.com/office/drawing/2014/main" id="{E3C73A8E-0F2D-4288-A132-74F3F841626E}"/>
                </a:ext>
              </a:extLst>
            </xdr:cNvPr>
            <xdr:cNvGraphicFramePr/>
          </xdr:nvGraphicFramePr>
          <xdr:xfrm>
            <a:off x="0" y="0"/>
            <a:ext cx="0" cy="0"/>
          </xdr:xfrm>
          <a:graphic>
            <a:graphicData uri="http://schemas.microsoft.com/office/drawing/2010/slicer">
              <sle:slicer xmlns:sle="http://schemas.microsoft.com/office/drawing/2010/slicer" name="Área Responsable"/>
            </a:graphicData>
          </a:graphic>
        </xdr:graphicFrame>
      </mc:Choice>
      <mc:Fallback xmlns="">
        <xdr:sp macro="" textlink="">
          <xdr:nvSpPr>
            <xdr:cNvPr id="0" name=""/>
            <xdr:cNvSpPr>
              <a:spLocks noTextEdit="1"/>
            </xdr:cNvSpPr>
          </xdr:nvSpPr>
          <xdr:spPr>
            <a:xfrm>
              <a:off x="8384923" y="1868501"/>
              <a:ext cx="2991289" cy="2999334"/>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0</xdr:colOff>
      <xdr:row>17</xdr:row>
      <xdr:rowOff>170720</xdr:rowOff>
    </xdr:from>
    <xdr:to>
      <xdr:col>6</xdr:col>
      <xdr:colOff>361406</xdr:colOff>
      <xdr:row>32</xdr:row>
      <xdr:rowOff>175192</xdr:rowOff>
    </xdr:to>
    <xdr:graphicFrame macro="">
      <xdr:nvGraphicFramePr>
        <xdr:cNvPr id="7" name="Gráfico 6">
          <a:extLst>
            <a:ext uri="{FF2B5EF4-FFF2-40B4-BE49-F238E27FC236}">
              <a16:creationId xmlns:a16="http://schemas.microsoft.com/office/drawing/2014/main" id="{3C95E504-3DA3-4D78-9144-76E23CB4F90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356152</xdr:colOff>
      <xdr:row>3</xdr:row>
      <xdr:rowOff>9095</xdr:rowOff>
    </xdr:from>
    <xdr:to>
      <xdr:col>10</xdr:col>
      <xdr:colOff>509239</xdr:colOff>
      <xdr:row>17</xdr:row>
      <xdr:rowOff>174359</xdr:rowOff>
    </xdr:to>
    <xdr:graphicFrame macro="">
      <xdr:nvGraphicFramePr>
        <xdr:cNvPr id="6" name="Gráfico 5">
          <a:extLst>
            <a:ext uri="{FF2B5EF4-FFF2-40B4-BE49-F238E27FC236}">
              <a16:creationId xmlns:a16="http://schemas.microsoft.com/office/drawing/2014/main" id="{E96EBEB3-F9C4-474D-AD53-83EEBC4ED0B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354973</xdr:colOff>
      <xdr:row>17</xdr:row>
      <xdr:rowOff>174362</xdr:rowOff>
    </xdr:from>
    <xdr:to>
      <xdr:col>10</xdr:col>
      <xdr:colOff>509954</xdr:colOff>
      <xdr:row>32</xdr:row>
      <xdr:rowOff>175260</xdr:rowOff>
    </xdr:to>
    <xdr:graphicFrame macro="">
      <xdr:nvGraphicFramePr>
        <xdr:cNvPr id="8" name="Gráfico 7">
          <a:extLst>
            <a:ext uri="{FF2B5EF4-FFF2-40B4-BE49-F238E27FC236}">
              <a16:creationId xmlns:a16="http://schemas.microsoft.com/office/drawing/2014/main" id="{E6103580-1D01-41BF-8872-D7D5D3200AC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xdr:row>
      <xdr:rowOff>136187</xdr:rowOff>
    </xdr:from>
    <xdr:to>
      <xdr:col>10</xdr:col>
      <xdr:colOff>518808</xdr:colOff>
      <xdr:row>18</xdr:row>
      <xdr:rowOff>13062</xdr:rowOff>
    </xdr:to>
    <xdr:sp macro="" textlink="">
      <xdr:nvSpPr>
        <xdr:cNvPr id="9" name="Rectángulo 8">
          <a:extLst>
            <a:ext uri="{FF2B5EF4-FFF2-40B4-BE49-F238E27FC236}">
              <a16:creationId xmlns:a16="http://schemas.microsoft.com/office/drawing/2014/main" id="{2B92ADF4-8C3D-6564-CD65-D9160C8FBA6D}"/>
            </a:ext>
          </a:extLst>
        </xdr:cNvPr>
        <xdr:cNvSpPr/>
      </xdr:nvSpPr>
      <xdr:spPr>
        <a:xfrm>
          <a:off x="0" y="3093396"/>
          <a:ext cx="8430638" cy="5845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a:t>
          </a:r>
        </a:p>
      </xdr:txBody>
    </xdr:sp>
    <xdr:clientData/>
  </xdr:twoCellAnchor>
  <xdr:twoCellAnchor>
    <xdr:from>
      <xdr:col>10</xdr:col>
      <xdr:colOff>604666</xdr:colOff>
      <xdr:row>28</xdr:row>
      <xdr:rowOff>66675</xdr:rowOff>
    </xdr:from>
    <xdr:to>
      <xdr:col>13</xdr:col>
      <xdr:colOff>504824</xdr:colOff>
      <xdr:row>32</xdr:row>
      <xdr:rowOff>47625</xdr:rowOff>
    </xdr:to>
    <xdr:grpSp>
      <xdr:nvGrpSpPr>
        <xdr:cNvPr id="10" name="Grupo 9">
          <a:extLst>
            <a:ext uri="{FF2B5EF4-FFF2-40B4-BE49-F238E27FC236}">
              <a16:creationId xmlns:a16="http://schemas.microsoft.com/office/drawing/2014/main" id="{AD915F74-9843-47CA-8161-5401891BB397}"/>
            </a:ext>
          </a:extLst>
        </xdr:cNvPr>
        <xdr:cNvGrpSpPr/>
      </xdr:nvGrpSpPr>
      <xdr:grpSpPr>
        <a:xfrm>
          <a:off x="8558937" y="4961741"/>
          <a:ext cx="2290821" cy="701936"/>
          <a:chOff x="8493568" y="4981104"/>
          <a:chExt cx="2125198" cy="795406"/>
        </a:xfrm>
      </xdr:grpSpPr>
      <xdr:sp macro="" textlink="">
        <xdr:nvSpPr>
          <xdr:cNvPr id="11" name="Rectángulo 10">
            <a:extLst>
              <a:ext uri="{FF2B5EF4-FFF2-40B4-BE49-F238E27FC236}">
                <a16:creationId xmlns:a16="http://schemas.microsoft.com/office/drawing/2014/main" id="{696C0A16-50D0-7B3A-541F-1FB61D32F794}"/>
              </a:ext>
            </a:extLst>
          </xdr:cNvPr>
          <xdr:cNvSpPr/>
        </xdr:nvSpPr>
        <xdr:spPr>
          <a:xfrm>
            <a:off x="8493568" y="4981104"/>
            <a:ext cx="2125198" cy="795406"/>
          </a:xfrm>
          <a:prstGeom prst="rect">
            <a:avLst/>
          </a:prstGeom>
          <a:solidFill>
            <a:srgbClr val="00387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2" name="Rectángulo 11">
            <a:extLst>
              <a:ext uri="{FF2B5EF4-FFF2-40B4-BE49-F238E27FC236}">
                <a16:creationId xmlns:a16="http://schemas.microsoft.com/office/drawing/2014/main" id="{CACD5275-4FDA-0EAA-B8EA-C7A0FC361BB3}"/>
              </a:ext>
            </a:extLst>
          </xdr:cNvPr>
          <xdr:cNvSpPr/>
        </xdr:nvSpPr>
        <xdr:spPr>
          <a:xfrm>
            <a:off x="8657344" y="5129933"/>
            <a:ext cx="524470" cy="18794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3" name="Rectángulo 12">
            <a:extLst>
              <a:ext uri="{FF2B5EF4-FFF2-40B4-BE49-F238E27FC236}">
                <a16:creationId xmlns:a16="http://schemas.microsoft.com/office/drawing/2014/main" id="{7CAA42E8-14D1-018C-A813-D447A058F295}"/>
              </a:ext>
            </a:extLst>
          </xdr:cNvPr>
          <xdr:cNvSpPr/>
        </xdr:nvSpPr>
        <xdr:spPr>
          <a:xfrm>
            <a:off x="8657344" y="5465766"/>
            <a:ext cx="524470" cy="187941"/>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4" name="CuadroTexto 13">
            <a:extLst>
              <a:ext uri="{FF2B5EF4-FFF2-40B4-BE49-F238E27FC236}">
                <a16:creationId xmlns:a16="http://schemas.microsoft.com/office/drawing/2014/main" id="{F2FF1104-9560-03AE-781B-94D1E5AEE891}"/>
              </a:ext>
            </a:extLst>
          </xdr:cNvPr>
          <xdr:cNvSpPr txBox="1"/>
        </xdr:nvSpPr>
        <xdr:spPr>
          <a:xfrm>
            <a:off x="9364138" y="5071498"/>
            <a:ext cx="1147107" cy="30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Con</a:t>
            </a:r>
            <a:r>
              <a:rPr lang="es-DO" sz="1100" b="1" baseline="0">
                <a:solidFill>
                  <a:schemeClr val="bg1"/>
                </a:solidFill>
              </a:rPr>
              <a:t> información</a:t>
            </a:r>
            <a:endParaRPr lang="es-DO" sz="1100" b="1">
              <a:solidFill>
                <a:schemeClr val="bg1"/>
              </a:solidFill>
            </a:endParaRPr>
          </a:p>
        </xdr:txBody>
      </xdr:sp>
      <xdr:sp macro="" textlink="">
        <xdr:nvSpPr>
          <xdr:cNvPr id="15" name="CuadroTexto 14">
            <a:extLst>
              <a:ext uri="{FF2B5EF4-FFF2-40B4-BE49-F238E27FC236}">
                <a16:creationId xmlns:a16="http://schemas.microsoft.com/office/drawing/2014/main" id="{01857A7E-3B06-F68E-07B4-9277FFFD83F3}"/>
              </a:ext>
            </a:extLst>
          </xdr:cNvPr>
          <xdr:cNvSpPr txBox="1"/>
        </xdr:nvSpPr>
        <xdr:spPr>
          <a:xfrm>
            <a:off x="9359464" y="5414656"/>
            <a:ext cx="1151781" cy="3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Sin Información</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alejandro\Desktop\Formato%20Matriz%20R%20Q%20y%20S%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Seguimiento "/>
      <sheetName val="Acciones de Mejoras "/>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William Guilamo Gutierrez" id="{F8EE96AE-7CDE-41EA-931B-B2FFD4ECFDF5}" userId="S::wguilamo@contraloria.gob.do::e1285fcc-95c9-4ed2-802a-bfef9f24783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091.411311689815" createdVersion="8" refreshedVersion="8" minRefreshableVersion="3" recordCount="82" xr:uid="{6390C513-5290-43D3-82E1-DEFB2377E5A1}">
  <cacheSource type="worksheet">
    <worksheetSource name="Tabla3"/>
  </cacheSource>
  <cacheFields count="15">
    <cacheField name="No." numFmtId="0">
      <sharedItems containsSemiMixedTypes="0" containsString="0" containsNumber="1" containsInteger="1" minValue="1" maxValue="82"/>
    </cacheField>
    <cacheField name="Codigo " numFmtId="0">
      <sharedItems containsMixedTypes="1" containsNumber="1" containsInteger="1" minValue="0" maxValue="0"/>
    </cacheField>
    <cacheField name=" Tipo de Registro  " numFmtId="0">
      <sharedItems containsMixedTypes="1" containsNumber="1" containsInteger="1" minValue="0" maxValue="0" count="5">
        <s v="Queja"/>
        <s v="Reclamación "/>
        <s v="Sugerencia "/>
        <n v="0"/>
        <s v="" u="1"/>
      </sharedItems>
    </cacheField>
    <cacheField name="Fecha de _x000a_Registro " numFmtId="0">
      <sharedItems containsMixedTypes="1" containsNumber="1" containsInteger="1" minValue="0" maxValue="0"/>
    </cacheField>
    <cacheField name="Trimestre" numFmtId="0">
      <sharedItems count="5">
        <s v="T1"/>
        <s v="T2"/>
        <s v="T3"/>
        <s v="T4"/>
        <s v=""/>
      </sharedItems>
    </cacheField>
    <cacheField name="Año" numFmtId="0">
      <sharedItems containsMixedTypes="1" containsNumber="1" containsInteger="1" minValue="2022" maxValue="2023" count="3">
        <n v="2022"/>
        <n v="2023"/>
        <s v=""/>
      </sharedItems>
    </cacheField>
    <cacheField name="Causa Raiz " numFmtId="0">
      <sharedItems containsBlank="1"/>
    </cacheField>
    <cacheField name="Nivel de Riesgo " numFmtId="0">
      <sharedItems containsMixedTypes="1" containsNumber="1" containsInteger="1" minValue="0" maxValue="0"/>
    </cacheField>
    <cacheField name="Acción de Mejora " numFmtId="0">
      <sharedItems containsBlank="1"/>
    </cacheField>
    <cacheField name="Actividades " numFmtId="0">
      <sharedItems containsBlank="1"/>
    </cacheField>
    <cacheField name="Fecha de Inicio " numFmtId="0">
      <sharedItems containsDate="1" containsBlank="1" containsMixedTypes="1" minDate="2022-01-18T00:00:00" maxDate="2023-12-27T00:00:00"/>
    </cacheField>
    <cacheField name="Fecha de Fin " numFmtId="0">
      <sharedItems containsDate="1" containsBlank="1" containsMixedTypes="1" minDate="2022-01-26T00:00:00" maxDate="2023-12-28T00:00:00"/>
    </cacheField>
    <cacheField name="Responsable (s) de la Implementación " numFmtId="0">
      <sharedItems containsBlank="1"/>
    </cacheField>
    <cacheField name="Estatus " numFmtId="0">
      <sharedItems containsBlank="1"/>
    </cacheField>
    <cacheField name="Días CGR" numFmtId="0">
      <sharedItems containsMixedTypes="1" containsNumber="1" containsInteger="1" minValue="0" maxValue="15" count="12">
        <n v="4"/>
        <n v="0"/>
        <n v="1"/>
        <s v=""/>
        <n v="5"/>
        <n v="10"/>
        <n v="14"/>
        <n v="2"/>
        <n v="3"/>
        <n v="15"/>
        <n v="7"/>
        <n v="13"/>
      </sharedItems>
    </cacheField>
  </cacheFields>
  <extLst>
    <ext xmlns:x14="http://schemas.microsoft.com/office/spreadsheetml/2009/9/main" uri="{725AE2AE-9491-48be-B2B4-4EB974FC3084}">
      <x14:pivotCacheDefinition pivotCacheId="37604017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198.392930787035" createdVersion="8" refreshedVersion="8" minRefreshableVersion="3" recordCount="101" xr:uid="{3D4F77BE-9964-4DCF-9C52-34D54CA68F39}">
  <cacheSource type="worksheet">
    <worksheetSource name="Tabla1"/>
  </cacheSource>
  <cacheFields count="20">
    <cacheField name="No. " numFmtId="0">
      <sharedItems containsSemiMixedTypes="0" containsString="0" containsNumber="1" containsInteger="1" minValue="1" maxValue="101" count="10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sharedItems>
    </cacheField>
    <cacheField name="Código " numFmtId="0">
      <sharedItems containsBlank="1" count="106">
        <s v="311-1"/>
        <s v="Q01"/>
        <s v="311-2"/>
        <s v="Q04"/>
        <s v="Q03"/>
        <s v="311-3"/>
        <s v="311-4"/>
        <s v="Q06"/>
        <s v="R01"/>
        <s v="R02"/>
        <s v="S01"/>
        <s v="Q07"/>
        <s v="R03"/>
        <s v="R04"/>
        <s v="R05"/>
        <s v="R06"/>
        <s v="Q08"/>
        <s v="R07"/>
        <s v="Q09"/>
        <s v="Q10"/>
        <s v="R08"/>
        <s v="R09"/>
        <s v="R10"/>
        <s v="Q11"/>
        <s v="S02"/>
        <s v="R11"/>
        <s v="R12"/>
        <s v="R13"/>
        <s v="R14"/>
        <s v="R15"/>
        <s v="R16"/>
        <s v="R17"/>
        <s v="R18"/>
        <s v="Q12"/>
        <s v="R19"/>
        <s v="R20"/>
        <s v="R21"/>
        <s v="R22"/>
        <s v="R23"/>
        <s v="R24"/>
        <s v="R25"/>
        <s v="R26"/>
        <s v="Q13"/>
        <s v="R27"/>
        <s v="Q14"/>
        <s v="Q15"/>
        <s v="R28"/>
        <s v="R29"/>
        <s v="R30"/>
        <s v="311-5"/>
        <s v="R31"/>
        <s v="R32"/>
        <s v="R33"/>
        <s v="R34"/>
        <s v="R35"/>
        <s v="R36"/>
        <s v="Q16"/>
        <s v="R37"/>
        <s v="R38"/>
        <s v="R39"/>
        <s v="R40"/>
        <s v="R41"/>
        <s v="S03"/>
        <s v="R42"/>
        <s v="R43"/>
        <s v="R44"/>
        <s v="S04"/>
        <s v="Q17"/>
        <s v="R45"/>
        <s v="R46"/>
        <s v="311-6"/>
        <s v="311-7"/>
        <s v="Q18"/>
        <s v="R47"/>
        <s v="R48"/>
        <s v="R49"/>
        <s v="Q19"/>
        <s v="R50"/>
        <s v="R51"/>
        <s v="R52"/>
        <s v="Q20"/>
        <s v="R53"/>
        <s v="R54"/>
        <s v="R55"/>
        <s v="R56"/>
        <s v="R57"/>
        <s v="R58"/>
        <s v="R59"/>
        <s v="R60"/>
        <s v="R61"/>
        <s v="R62"/>
        <s v="R63"/>
        <s v="Q21"/>
        <s v="R64"/>
        <s v="R65"/>
        <s v="Q22"/>
        <s v="R66"/>
        <s v="R67"/>
        <s v="R68"/>
        <s v="S05"/>
        <s v="R69"/>
        <m u="1"/>
        <s v="Q2022070124386" u="1"/>
        <s v="Q2022011821153" u="1"/>
        <s v="Q2022051023139" u="1"/>
        <s v="Q2022040822558" u="1"/>
      </sharedItems>
    </cacheField>
    <cacheField name=" Tipo de Registro  " numFmtId="0">
      <sharedItems/>
    </cacheField>
    <cacheField name="Fecha de _x000a_Registro " numFmtId="14">
      <sharedItems containsSemiMixedTypes="0" containsNonDate="0" containsDate="1" containsString="0" minDate="2022-01-18T00:00:00" maxDate="2023-10-01T00:00:00" count="79">
        <d v="2022-01-18T00:00:00"/>
        <d v="2022-01-27T00:00:00"/>
        <d v="2022-04-08T00:00:00"/>
        <d v="2022-04-30T00:00:00"/>
        <d v="2022-05-05T00:00:00"/>
        <d v="2022-05-10T00:00:00"/>
        <d v="2022-07-01T00:00:00"/>
        <d v="2022-08-01T00:00:00"/>
        <d v="2022-08-15T00:00:00"/>
        <d v="2022-08-24T00:00:00"/>
        <d v="2022-08-25T00:00:00"/>
        <d v="2022-08-26T00:00:00"/>
        <d v="2022-09-06T00:00:00"/>
        <d v="2022-09-07T00:00:00"/>
        <d v="2022-09-08T00:00:00"/>
        <d v="2022-09-12T00:00:00"/>
        <d v="2022-09-23T00:00:00"/>
        <d v="2022-09-26T00:00:00"/>
        <d v="2022-09-29T00:00:00"/>
        <d v="2022-10-04T00:00:00"/>
        <d v="2022-10-05T00:00:00"/>
        <d v="2022-10-06T00:00:00"/>
        <d v="2022-10-14T00:00:00"/>
        <d v="2022-10-17T00:00:00"/>
        <d v="2022-10-20T00:00:00"/>
        <d v="2022-10-21T00:00:00"/>
        <d v="2022-10-27T00:00:00"/>
        <d v="2022-11-04T00:00:00"/>
        <d v="2022-11-14T00:00:00"/>
        <d v="2022-11-22T00:00:00"/>
        <d v="2022-11-24T00:00:00"/>
        <d v="2022-11-25T00:00:00"/>
        <d v="2022-12-01T00:00:00"/>
        <d v="2022-12-06T00:00:00"/>
        <d v="2022-12-08T00:00:00"/>
        <d v="2022-12-12T00:00:00"/>
        <d v="2022-12-26T00:00:00"/>
        <d v="2023-01-28T00:00:00"/>
        <d v="2023-02-01T00:00:00"/>
        <d v="2023-02-03T00:00:00"/>
        <d v="2023-02-10T00:00:00"/>
        <d v="2023-02-13T00:00:00"/>
        <d v="2023-02-15T00:00:00"/>
        <d v="2023-02-22T00:00:00"/>
        <d v="2023-03-03T00:00:00"/>
        <d v="2023-03-08T00:00:00"/>
        <d v="2023-03-09T00:00:00"/>
        <d v="2023-03-10T00:00:00"/>
        <d v="2023-03-14T00:00:00"/>
        <d v="2023-03-20T00:00:00"/>
        <d v="2023-03-21T00:00:00"/>
        <d v="2023-03-29T00:00:00"/>
        <d v="2023-03-30T00:00:00"/>
        <d v="2023-04-10T00:00:00"/>
        <d v="2023-04-13T00:00:00"/>
        <d v="2023-04-17T00:00:00"/>
        <d v="2023-04-25T00:00:00"/>
        <d v="2023-04-27T00:00:00"/>
        <d v="2023-05-05T00:00:00"/>
        <d v="2023-05-16T00:00:00"/>
        <d v="2023-05-22T00:00:00"/>
        <d v="2023-05-31T00:00:00"/>
        <d v="2023-07-03T00:00:00"/>
        <d v="2023-07-04T00:00:00"/>
        <d v="2023-07-20T00:00:00"/>
        <d v="2023-08-01T00:00:00"/>
        <d v="2023-08-02T00:00:00"/>
        <d v="2023-08-09T00:00:00"/>
        <d v="2023-08-10T00:00:00"/>
        <d v="2023-08-15T00:00:00"/>
        <d v="2023-08-21T00:00:00"/>
        <d v="2023-09-30T00:00:00"/>
        <d v="2023-09-07T00:00:00"/>
        <d v="2023-09-08T00:00:00"/>
        <d v="2023-09-19T00:00:00"/>
        <d v="2023-09-21T00:00:00"/>
        <d v="2023-09-22T00:00:00"/>
        <d v="2023-09-25T00:00:00"/>
        <d v="2023-09-27T00:00:00"/>
      </sharedItems>
    </cacheField>
    <cacheField name="Trimestre" numFmtId="0">
      <sharedItems/>
    </cacheField>
    <cacheField name="Año" numFmtId="0">
      <sharedItems containsSemiMixedTypes="0" containsString="0" containsNumber="1" containsInteger="1" minValue="2022" maxValue="2023"/>
    </cacheField>
    <cacheField name="Datos del Reclamante " numFmtId="0">
      <sharedItems/>
    </cacheField>
    <cacheField name="Teléfono " numFmtId="0">
      <sharedItems/>
    </cacheField>
    <cacheField name="Email " numFmtId="0">
      <sharedItems/>
    </cacheField>
    <cacheField name="Servicio _x000a_Afectado " numFmtId="0">
      <sharedItems/>
    </cacheField>
    <cacheField name="Impacto " numFmtId="0">
      <sharedItems containsSemiMixedTypes="0" containsString="0" containsNumber="1" containsInteger="1" minValue="1" maxValue="3"/>
    </cacheField>
    <cacheField name="Probabilidad" numFmtId="0">
      <sharedItems containsSemiMixedTypes="0" containsString="0" containsNumber="1" containsInteger="1" minValue="1" maxValue="3"/>
    </cacheField>
    <cacheField name="Calificación " numFmtId="0">
      <sharedItems containsSemiMixedTypes="0" containsString="0" containsNumber="1" containsInteger="1" minValue="1" maxValue="9"/>
    </cacheField>
    <cacheField name="Nivel del _x000a_Riesgo  " numFmtId="0">
      <sharedItems/>
    </cacheField>
    <cacheField name="Estatus " numFmtId="0">
      <sharedItems containsBlank="1" count="5">
        <s v="Cerrado"/>
        <s v="En ejecución"/>
        <m u="1"/>
        <s v="Seleccionar" u="1"/>
        <s v="Abierto " u="1"/>
      </sharedItems>
    </cacheField>
    <cacheField name="Área Responsable " numFmtId="0">
      <sharedItems containsBlank="1" count="20">
        <s v="División de Certificaciones de cargos "/>
        <s v="División de Archivo Y Correspondencia "/>
        <s v="Oficina de Acceso a la información"/>
        <s v="División de Mayordomía"/>
        <s v="División de Certificaciones de Cargos"/>
        <s v="Dirección de Recursos Humanos "/>
        <s v="N/A"/>
        <s v="Dirección Administrativa Financiera"/>
        <s v="Dirección de Revisión Y Control de Calidad"/>
        <s v="Departamento de Auditoria "/>
        <s v="Departamento Administrativo"/>
        <s v="División de Certficaciones de Cargos"/>
        <s v="Departamento de Serivicios Personales"/>
        <s v="Division de Certificaciones de Cargos"/>
        <s v="Sección de Transportación"/>
        <s v="Servicios de Comida"/>
        <s v="Sección de Mayordomía"/>
        <s v="Mesa de Ayuda"/>
        <s v="Certificaciones de Cargos"/>
        <m u="1"/>
      </sharedItems>
    </cacheField>
    <cacheField name="Queja/Sugerencia/ Reclamacion escaneada " numFmtId="0">
      <sharedItems/>
    </cacheField>
    <cacheField name="Procedencia " numFmtId="0">
      <sharedItems/>
    </cacheField>
    <cacheField name="Cliente" numFmtId="0">
      <sharedItems/>
    </cacheField>
    <cacheField name="Género"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201.371709259256" backgroundQuery="1" createdVersion="8" refreshedVersion="8" minRefreshableVersion="3" recordCount="0" supportSubquery="1" supportAdvancedDrill="1" xr:uid="{BB83CDB1-FF50-4CF7-9B3B-9F3890F8AE3D}">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1">
        <s v="Certificaciones de Cargos"/>
      </sharedItems>
    </cacheField>
    <cacheField name="[Tabla1].[Tipo de Registro].[Tipo de Registro]" caption="Tipo de Registro" numFmtId="0" hierarchy="2" level="1">
      <sharedItems count="1">
        <s v="Reclamación"/>
      </sharedItems>
    </cacheField>
    <cacheField name="[Measures].[Recuento de Tipo de Registro]" caption="Recuento de Tipo de Registro" numFmtId="0" hierarchy="43" level="32767"/>
    <cacheField name="[Tabla1].[Género].[Género]" caption="Género" numFmtId="0" hierarchy="19" level="1">
      <sharedItems count="3">
        <s v="Femenido"/>
        <s v="Femenino"/>
        <s v="Masculino"/>
      </sharedItems>
    </cacheField>
    <cacheField name="[Tabla1].[Procedencia].[Procedencia]" caption="Procedencia" numFmtId="0" hierarchy="17" level="1">
      <sharedItems count="2">
        <s v="Buzón Web"/>
        <s v="Correo Electrónico"/>
      </sharedItems>
    </cacheField>
    <cacheField name="[Tabla1].[Cliente].[Cliente]" caption="Cliente" numFmtId="0" hierarchy="18" level="1">
      <sharedItems count="1">
        <s v="Externo"/>
      </sharedItems>
    </cacheField>
    <cacheField name="[Tabla1].[Estatus].[Estatus]" caption="Estatus" numFmtId="0" hierarchy="14"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8"/>
      </fieldsUsage>
    </cacheHierarchy>
    <cacheHierarchy uniqueName="[Tabla1].[Área Responsable]" caption="Área Responsable" attribute="1" defaultMemberUniqueName="[Tabla1].[Área Responsable].[All]" allUniqueName="[Tabla1].[Área Responsable].[All]" dimensionUniqueName="[Tabla1]" displayFolder="" count="0"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2" memberValueDatatype="130" unbalanced="0">
      <fieldsUsage count="2">
        <fieldUsage x="-1"/>
        <fieldUsage x="5"/>
      </fieldsUsage>
    </cacheHierarchy>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Fecha de  Registro]" caption="Fecha de  Registro" attribute="1" time="1" defaultMemberUniqueName="[Tabla3].[Fecha de  Registro].[All]" allUniqueName="[Tabla3].[Fecha de  Registro].[All]" dimensionUniqueName="[Tabla3]" displayFolder="" count="0" memberValueDatatype="7"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Causa Raiz]" caption="Causa Raiz" attribute="1" defaultMemberUniqueName="[Tabla3].[Causa Raiz].[All]" allUniqueName="[Tabla3].[Causa Raiz].[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rla Carolina Montero De Leon" refreshedDate="45205.415431944442" backgroundQuery="1" createdVersion="8" refreshedVersion="8" minRefreshableVersion="3" recordCount="0" supportSubquery="1" supportAdvancedDrill="1" xr:uid="{9FE90050-517F-4A21-8359-4FF0884CC07C}">
  <cacheSource type="external" connectionId="1"/>
  <cacheFields count="10">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8">
        <s v="Autorización de Ordenes de pago"/>
        <s v="Certificaciones de Cargos"/>
        <s v="Concursos de oposición"/>
        <s v="Consulta de Libramiento"/>
        <s v="Correspondencia"/>
        <s v="Departamento de Auditoría"/>
        <s v="Pago SNS"/>
        <s v="Servicios Personales"/>
      </sharedItems>
    </cacheField>
    <cacheField name="[Tabla1].[Tipo de Registro].[Tipo de Registro]" caption="Tipo de Registro" numFmtId="0" hierarchy="2" level="1">
      <sharedItems containsNonDate="0" count="2">
        <s v="Queja"/>
        <s v="Reclamación"/>
      </sharedItems>
    </cacheField>
    <cacheField name="[Measures].[Recuento de Tipo de Registro]" caption="Recuento de Tipo de Registro" numFmtId="0" hierarchy="43" level="32767"/>
    <cacheField name="[Tabla1].[Procedencia].[Procedencia]" caption="Procedencia" numFmtId="0" hierarchy="17" level="1">
      <sharedItems containsNonDate="0" count="3">
        <s v="Buzón Web"/>
        <s v="Buzón Físico"/>
        <s v="Línea 311"/>
      </sharedItems>
    </cacheField>
    <cacheField name="[Tabla3].[Días CGR].[Días CGR]" caption="Días CGR" numFmtId="0" hierarchy="37" level="1">
      <sharedItems containsNonDate="0" count="7">
        <s v="10"/>
        <s v=""/>
        <s v="1"/>
        <s v="0"/>
        <s v="2"/>
        <s v="5"/>
        <s v="14"/>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2" memberValueDatatype="20" unbalanced="0"/>
    <cacheHierarchy uniqueName="[Tabla1].[Código]" caption="Código" attribute="1" defaultMemberUniqueName="[Tabla1].[Código].[All]" allUniqueName="[Tabla1].[Código].[All]" dimensionUniqueName="[Tabla1]" displayFolder="" count="2"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2"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2" memberValueDatatype="130" unbalanced="0"/>
    <cacheHierarchy uniqueName="[Tabla1].[Teléfono]" caption="Teléfono" attribute="1" defaultMemberUniqueName="[Tabla1].[Teléfono].[All]" allUniqueName="[Tabla1].[Teléfono].[All]" dimensionUniqueName="[Tabla1]" displayFolder="" count="2" memberValueDatatype="130" unbalanced="0"/>
    <cacheHierarchy uniqueName="[Tabla1].[Email]" caption="Email" attribute="1" defaultMemberUniqueName="[Tabla1].[Email].[All]" allUniqueName="[Tabla1].[Email].[All]" dimensionUniqueName="[Tabla1]" displayFolder="" count="2"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2" memberValueDatatype="20" unbalanced="0"/>
    <cacheHierarchy uniqueName="[Tabla1].[Probabilidad]" caption="Probabilidad" attribute="1" defaultMemberUniqueName="[Tabla1].[Probabilidad].[All]" allUniqueName="[Tabla1].[Probabilidad].[All]" dimensionUniqueName="[Tabla1]" displayFolder="" count="2" memberValueDatatype="20" unbalanced="0"/>
    <cacheHierarchy uniqueName="[Tabla1].[Calificación]" caption="Calificación" attribute="1" defaultMemberUniqueName="[Tabla1].[Calificación].[All]" allUniqueName="[Tabla1].[Calificación].[All]" dimensionUniqueName="[Tabla1]" displayFolder="" count="2" memberValueDatatype="20" unbalanced="0"/>
    <cacheHierarchy uniqueName="[Tabla1].[Nivel del  Riesgo]" caption="Nivel del  Riesgo" attribute="1" defaultMemberUniqueName="[Tabla1].[Nivel del  Riesgo].[All]" allUniqueName="[Tabla1].[Nivel del  Riesgo].[All]" dimensionUniqueName="[Tabla1]" displayFolder="" count="2"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7"/>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9"/>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2"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5"/>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8"/>
      </fieldsUsage>
    </cacheHierarchy>
    <cacheHierarchy uniqueName="[Tabla1].[Género]" caption="Género" attribute="1" defaultMemberUniqueName="[Tabla1].[Género].[All]" allUniqueName="[Tabla1].[Género].[All]" dimensionUniqueName="[Tabla1]" displayFolder="" count="2" memberValueDatatype="130" unbalanced="0"/>
    <cacheHierarchy uniqueName="[Tabla1].[Fecha de  Registro (año)]" caption="Fecha de  Registro (año)" attribute="1" defaultMemberUniqueName="[Tabla1].[Fecha de  Registro (año)].[All]" allUniqueName="[Tabla1].[Fecha de  Registro (año)].[All]" dimensionUniqueName="[Tabla1]" displayFolder="" count="2"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2" memberValueDatatype="130" unbalanced="0"/>
    <cacheHierarchy uniqueName="[Tabla1].[Fecha de  Registro (mes)]" caption="Fecha de  Registro (mes)" attribute="1" defaultMemberUniqueName="[Tabla1].[Fecha de  Registro (mes)].[All]" allUniqueName="[Tabla1].[Fecha de  Registro (mes)].[All]" dimensionUniqueName="[Tabla1]" displayFolder="" count="2" memberValueDatatype="130" unbalanced="0"/>
    <cacheHierarchy uniqueName="[Tabla3].[No.]" caption="No." attribute="1" defaultMemberUniqueName="[Tabla3].[No.].[All]" allUniqueName="[Tabla3].[No.].[All]" dimensionUniqueName="[Tabla3]" displayFolder="" count="2" memberValueDatatype="20" unbalanced="0"/>
    <cacheHierarchy uniqueName="[Tabla3].[Codigo]" caption="Codigo" attribute="1" defaultMemberUniqueName="[Tabla3].[Codigo].[All]" allUniqueName="[Tabla3].[Codigo].[All]" dimensionUniqueName="[Tabla3]" displayFolder="" count="2" memberValueDatatype="130" unbalanced="0"/>
    <cacheHierarchy uniqueName="[Tabla3].[Tipo de Registro]" caption="Tipo de Registro" attribute="1" defaultMemberUniqueName="[Tabla3].[Tipo de Registro].[All]" allUniqueName="[Tabla3].[Tipo de Registro].[All]" dimensionUniqueName="[Tabla3]" displayFolder="" count="2" memberValueDatatype="130" unbalanced="0"/>
    <cacheHierarchy uniqueName="[Tabla3].[Fecha de  Registro]" caption="Fecha de  Registro" attribute="1" time="1" defaultMemberUniqueName="[Tabla3].[Fecha de  Registro].[All]" allUniqueName="[Tabla3].[Fecha de  Registro].[All]" dimensionUniqueName="[Tabla3]" displayFolder="" count="2" memberValueDatatype="7" unbalanced="0"/>
    <cacheHierarchy uniqueName="[Tabla3].[Trimestre]" caption="Trimestre" attribute="1" defaultMemberUniqueName="[Tabla3].[Trimestre].[All]" allUniqueName="[Tabla3].[Trimestre].[All]" dimensionUniqueName="[Tabla3]" displayFolder="" count="2" memberValueDatatype="130" unbalanced="0"/>
    <cacheHierarchy uniqueName="[Tabla3].[Año]" caption="Año" attribute="1" defaultMemberUniqueName="[Tabla3].[Año].[All]" allUniqueName="[Tabla3].[Año].[All]" dimensionUniqueName="[Tabla3]" displayFolder="" count="2" memberValueDatatype="20" unbalanced="0"/>
    <cacheHierarchy uniqueName="[Tabla3].[Causa Raiz]" caption="Causa Raiz" attribute="1" defaultMemberUniqueName="[Tabla3].[Causa Raiz].[All]" allUniqueName="[Tabla3].[Causa Raiz].[All]" dimensionUniqueName="[Tabla3]" displayFolder="" count="2" memberValueDatatype="130" unbalanced="0"/>
    <cacheHierarchy uniqueName="[Tabla3].[Nivel de Riesgo]" caption="Nivel de Riesgo" attribute="1" defaultMemberUniqueName="[Tabla3].[Nivel de Riesgo].[All]" allUniqueName="[Tabla3].[Nivel de Riesgo].[All]" dimensionUniqueName="[Tabla3]" displayFolder="" count="2" memberValueDatatype="130" unbalanced="0"/>
    <cacheHierarchy uniqueName="[Tabla3].[Acción de Mejora]" caption="Acción de Mejora" attribute="1" defaultMemberUniqueName="[Tabla3].[Acción de Mejora].[All]" allUniqueName="[Tabla3].[Acción de Mejora].[All]" dimensionUniqueName="[Tabla3]" displayFolder="" count="2" memberValueDatatype="130" unbalanced="0"/>
    <cacheHierarchy uniqueName="[Tabla3].[Actividades]" caption="Actividades" attribute="1" defaultMemberUniqueName="[Tabla3].[Actividades].[All]" allUniqueName="[Tabla3].[Actividades].[All]" dimensionUniqueName="[Tabla3]" displayFolder="" count="2" memberValueDatatype="130" unbalanced="0"/>
    <cacheHierarchy uniqueName="[Tabla3].[Fecha de Inicio]" caption="Fecha de Inicio" attribute="1" defaultMemberUniqueName="[Tabla3].[Fecha de Inicio].[All]" allUniqueName="[Tabla3].[Fecha de Inicio].[All]" dimensionUniqueName="[Tabla3]" displayFolder="" count="2" memberValueDatatype="130" unbalanced="0"/>
    <cacheHierarchy uniqueName="[Tabla3].[Fecha de Fin]" caption="Fecha de Fin" attribute="1" defaultMemberUniqueName="[Tabla3].[Fecha de Fin].[All]" allUniqueName="[Tabla3].[Fecha de Fin].[All]" dimensionUniqueName="[Tabla3]" displayFolder="" count="2"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2" memberValueDatatype="130" unbalanced="0"/>
    <cacheHierarchy uniqueName="[Tabla3].[Estatus]" caption="Estatus" attribute="1" defaultMemberUniqueName="[Tabla3].[Estatus].[All]" allUniqueName="[Tabla3].[Estatus].[All]" dimensionUniqueName="[Tabla3]" displayFolder="" count="2"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6"/>
      </fieldsUsage>
    </cacheHierarchy>
    <cacheHierarchy uniqueName="[Tabla3].[Cumplimiento]" caption="Cumplimiento" attribute="1" defaultMemberUniqueName="[Tabla3].[Cumplimiento].[All]" allUniqueName="[Tabla3].[Cumplimiento].[All]" dimensionUniqueName="[Tabla3]" displayFolder="" count="2"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2"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rla Carolina Montero De Leon" refreshedDate="45205.415432407404" backgroundQuery="1" createdVersion="8" refreshedVersion="8" minRefreshableVersion="3" recordCount="0" supportSubquery="1" supportAdvancedDrill="1" xr:uid="{85A5EF0A-A881-4652-8C79-54D565972AB8}">
  <cacheSource type="external" connectionId="1"/>
  <cacheFields count="7">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4"/>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6"/>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5"/>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Fecha de  Registro]" caption="Fecha de  Registro" attribute="1" time="1" defaultMemberUniqueName="[Tabla3].[Fecha de  Registro].[All]" allUniqueName="[Tabla3].[Fecha de  Registro].[All]" dimensionUniqueName="[Tabla3]" displayFolder="" count="0" memberValueDatatype="7"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Causa Raiz]" caption="Causa Raiz" attribute="1" defaultMemberUniqueName="[Tabla3].[Causa Raiz].[All]" allUniqueName="[Tabla3].[Causa Raiz].[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rla Carolina Montero De Leon" refreshedDate="45205.415432754628" backgroundQuery="1" createdVersion="8" refreshedVersion="8" minRefreshableVersion="3" recordCount="0" supportSubquery="1" supportAdvancedDrill="1" xr:uid="{AE68C2B0-91B4-4B3E-876E-D9409E701802}">
  <cacheSource type="external" connectionId="1"/>
  <cacheFields count="8">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10">
        <s v="0"/>
        <s v="1"/>
        <s v="10"/>
        <s v="15"/>
        <s v="2"/>
        <s v="3"/>
        <s v="4"/>
        <s v="5"/>
        <s v="13" u="1"/>
        <s v="14" u="1"/>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5"/>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7"/>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6"/>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Fecha de  Registro]" caption="Fecha de  Registro" attribute="1" time="1" defaultMemberUniqueName="[Tabla3].[Fecha de  Registro].[All]" allUniqueName="[Tabla3].[Fecha de  Registro].[All]" dimensionUniqueName="[Tabla3]" displayFolder="" count="0" memberValueDatatype="7"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Causa Raiz]" caption="Causa Raiz" attribute="1" defaultMemberUniqueName="[Tabla3].[Causa Raiz].[All]" allUniqueName="[Tabla3].[Causa Raiz].[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rla Carolina Montero De Leon" refreshedDate="45205.415433101851" backgroundQuery="1" createdVersion="8" refreshedVersion="8" minRefreshableVersion="3" recordCount="0" supportSubquery="1" supportAdvancedDrill="1" xr:uid="{9CCC5E73-DBEB-4EA2-99F3-2F734149F683}">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11">
        <s v="0"/>
        <s v="1"/>
        <s v="10"/>
        <s v="13"/>
        <s v="14"/>
        <s v="15"/>
        <s v="2"/>
        <s v="3"/>
        <s v="4"/>
        <s v="5"/>
        <s v="7"/>
      </sharedItems>
    </cacheField>
    <cacheField name="[Tabla3].[Cumplimiento].[Cumplimiento]" caption="Cumplimiento" numFmtId="0" hierarchy="38" level="1">
      <sharedItems count="1">
        <s v="A tiempo"/>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6"/>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8"/>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Fecha de  Registro]" caption="Fecha de  Registro" attribute="1" time="1" defaultMemberUniqueName="[Tabla3].[Fecha de  Registro].[All]" allUniqueName="[Tabla3].[Fecha de  Registro].[All]" dimensionUniqueName="[Tabla3]" displayFolder="" count="0" memberValueDatatype="7"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Causa Raiz]" caption="Causa Raiz" attribute="1" defaultMemberUniqueName="[Tabla3].[Causa Raiz].[All]" allUniqueName="[Tabla3].[Causa Raiz].[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2" memberValueDatatype="130" unbalanced="0">
      <fieldsUsage count="2">
        <fieldUsage x="-1"/>
        <fieldUsage x="5"/>
      </fieldsUsage>
    </cacheHierarchy>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guel Enmanuel Joseph Hernandez" refreshedDate="45180.660581944445" backgroundQuery="1" createdVersion="3" refreshedVersion="8" minRefreshableVersion="3" recordCount="0" supportSubquery="1" supportAdvancedDrill="1" xr:uid="{A29F2023-E698-4045-A6F1-9D63C24B93BB}">
  <cacheSource type="external" connectionId="1">
    <extLst>
      <ext xmlns:x14="http://schemas.microsoft.com/office/spreadsheetml/2009/9/main" uri="{F057638F-6D5F-4e77-A914-E7F072B9BCA8}">
        <x14:sourceConnection name="ThisWorkbookDataModel"/>
      </ext>
    </extLst>
  </cacheSource>
  <cacheFields count="0"/>
  <cacheHierarchies count="45">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cacheHierarchy uniqueName="[Tabla1].[Año]" caption="Año" attribute="1" defaultMemberUniqueName="[Tabla1].[Año].[All]" allUniqueName="[Tabla1].[Año].[All]" dimensionUniqueName="[Tabla1]" displayFolder="" count="0" memberValueDatatype="20" unbalanced="0"/>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Fecha de  Registro]" caption="Fecha de  Registro" attribute="1" time="1" defaultMemberUniqueName="[Tabla3].[Fecha de  Registro].[All]" allUniqueName="[Tabla3].[Fecha de  Registro].[All]" dimensionUniqueName="[Tabla3]" displayFolder="" count="0" memberValueDatatype="7"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Causa Raiz]" caption="Causa Raiz" attribute="1" defaultMemberUniqueName="[Tabla3].[Causa Raiz].[All]" allUniqueName="[Tabla3].[Causa Raiz].[All]" dimensionUniqueName="[Tabla3]" displayFolder="" count="0" memberValueDatatype="13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hidden="1">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ies>
  <kpis count="0"/>
  <extLst>
    <ext xmlns:x14="http://schemas.microsoft.com/office/spreadsheetml/2009/9/main" uri="{725AE2AE-9491-48be-B2B4-4EB974FC3084}">
      <x14:pivotCacheDefinition slicerData="1" pivotCacheId="1132537397"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n v="1"/>
    <s v="311-1"/>
    <x v="0"/>
    <s v="Certificaciones de Cargos"/>
    <x v="0"/>
    <x v="0"/>
    <s v="Los datos del reclamante presenta incovenientes"/>
    <s v="Bajo"/>
    <s v="Se comunica con el reclamante para mitigar el incoveniente que se presentaba"/>
    <s v="Llamar al reclamante para brindarla información"/>
    <d v="2022-01-18T00:00:00"/>
    <d v="2022-01-26T00:00:00"/>
    <s v="División de Certificaciones de Cargos "/>
    <s v="Cerrado"/>
    <x v="0"/>
  </r>
  <r>
    <n v="2"/>
    <s v="Q01"/>
    <x v="0"/>
    <s v="Correspondencia"/>
    <x v="0"/>
    <x v="0"/>
    <s v="El reclamante explicó que ha recibido un pésimo servicio de entrega de correspondencia."/>
    <s v="Bajo"/>
    <m/>
    <m/>
    <s v="N/A"/>
    <s v="N/A"/>
    <m/>
    <s v="Cerrado"/>
    <x v="1"/>
  </r>
  <r>
    <n v="3"/>
    <s v="311-2"/>
    <x v="0"/>
    <s v="Pago SNS"/>
    <x v="1"/>
    <x v="0"/>
    <s v="Este servicio no es proveido por la Contraloria General de la República"/>
    <s v="Bajo"/>
    <s v="Se comunica con el reclamante para informarle sobre este servicio "/>
    <s v="Llamar al reclamante para brindarla información"/>
    <d v="2022-04-08T00:00:00"/>
    <d v="2022-04-11T00:00:00"/>
    <s v="Oficina De Acceso a la Información"/>
    <s v="Cerrado"/>
    <x v="2"/>
  </r>
  <r>
    <n v="4"/>
    <s v="Q04"/>
    <x v="0"/>
    <s v="N/A"/>
    <x v="1"/>
    <x v="0"/>
    <s v="La reclamante exigió más colaboración, respeto mutuo y disciplina  entre todos los colaboradores de la institución."/>
    <s v="Bajo"/>
    <s v="N/A"/>
    <s v="N/A"/>
    <s v="N/A"/>
    <s v="N/A"/>
    <s v="N/A"/>
    <s v="Cerrado"/>
    <x v="1"/>
  </r>
  <r>
    <n v="5"/>
    <s v="Q03"/>
    <x v="0"/>
    <s v="Certificaciones de Cargos"/>
    <x v="1"/>
    <x v="0"/>
    <s v="N/a"/>
    <s v="Bajo"/>
    <s v="N/A"/>
    <s v="N/A"/>
    <s v="N/A"/>
    <s v="N/A"/>
    <s v="N/A"/>
    <s v="Cerrado"/>
    <x v="3"/>
  </r>
  <r>
    <n v="6"/>
    <s v="311-3"/>
    <x v="0"/>
    <s v="Concursos de oposición"/>
    <x v="1"/>
    <x v="0"/>
    <s v="Este servicio no es proveido por la Contraloria General de la República"/>
    <s v="Bajo"/>
    <s v="Se comunica con el reclamante para mitigar el incoveniente que se presentaba"/>
    <s v="Llamar al reclamante para brindarla información"/>
    <d v="2022-05-10T00:00:00"/>
    <d v="2022-05-11T00:00:00"/>
    <s v="Oficina De Acceso a la Información"/>
    <s v="Cerrado"/>
    <x v="2"/>
  </r>
  <r>
    <n v="7"/>
    <s v="311-4"/>
    <x v="1"/>
    <s v="Certificaciones de Cargos"/>
    <x v="2"/>
    <x v="0"/>
    <s v="El reclamante explicó que necesita la validació de sus años de servicio en el Instituto Nacional de Bienestar Magisterial."/>
    <s v="Bajo"/>
    <s v="Comunicarse con el reclamante para atender su reclamación."/>
    <s v="Se le comunicó al reclamante que no se puede proceder con la validación, debido a que el reclamante no está registrado en la nómina pública."/>
    <d v="2022-07-01T00:00:00"/>
    <d v="2022-07-01T00:00:00"/>
    <s v="Oficina De Acceso a la Información"/>
    <s v="Cerrado"/>
    <x v="1"/>
  </r>
  <r>
    <n v="8"/>
    <s v="Q06"/>
    <x v="0"/>
    <s v="Datos del colaborador"/>
    <x v="2"/>
    <x v="0"/>
    <s v="Los expedientes de los colabroadores no estan actualizados y los colaboradores han entregado los documentos anteriormente"/>
    <s v="Medio"/>
    <s v="Solicitud de documento para anexar a su expediente"/>
    <s v="Completar expediente de los empleados "/>
    <d v="2022-08-29T00:00:00"/>
    <d v="2022-09-05T00:00:00"/>
    <s v="Dirección de Recursos Humanos "/>
    <s v="Cerrado"/>
    <x v="4"/>
  </r>
  <r>
    <n v="9"/>
    <s v="R01"/>
    <x v="1"/>
    <s v="Autorización de Ordenes de pago "/>
    <x v="2"/>
    <x v="0"/>
    <s v="La reclamante se equivoco de institucion al realizar su reclamación "/>
    <s v="Bajo"/>
    <s v="Redireccionar la reclamación al Ministerio de Administración Pública informandole a la reclamante por correo  "/>
    <s v="Enviar correo a la reclamante notificandole donde realizar la reclamación "/>
    <d v="2022-08-15T00:00:00"/>
    <d v="2022-08-17T00:00:00"/>
    <s v="División de Calidad en la Gestión "/>
    <s v="Cerrado"/>
    <x v="2"/>
  </r>
  <r>
    <n v="10"/>
    <s v="R02"/>
    <x v="1"/>
    <s v="Certificaciones de Cargos"/>
    <x v="2"/>
    <x v="0"/>
    <s v="La certificación de cargo no habia sido cerrada en nuestro sistema por ende el reclamante no podia descargarla "/>
    <s v="Medio"/>
    <s v="Liberar la Certificación de Cargo desde el Sistema para que el ciudadano pueda descargarla o realizar una nueva "/>
    <s v="Enviar correo al reclamante con el link de descarga para que pueda obtener su Certificación de Cargos"/>
    <d v="2022-08-15T00:00:00"/>
    <d v="2022-08-17T00:00:00"/>
    <s v="División de Certificaciones de Cargos "/>
    <s v="Cerrado"/>
    <x v="2"/>
  </r>
  <r>
    <n v="11"/>
    <s v="S01"/>
    <x v="2"/>
    <s v="Servicio de Comida"/>
    <x v="2"/>
    <x v="0"/>
    <m/>
    <s v="Bajo"/>
    <m/>
    <m/>
    <m/>
    <m/>
    <m/>
    <s v=""/>
    <x v="3"/>
  </r>
  <r>
    <n v="12"/>
    <s v="Q07"/>
    <x v="0"/>
    <s v="Autorización de Ordenes de pago "/>
    <x v="2"/>
    <x v="0"/>
    <s v="La certificación de ordenes de pago, no figura en el sistema de pagos."/>
    <s v="Bajo"/>
    <s v="Enviar un mensaje al reclamante, requiriendo más información para indagar la situación que se presenta"/>
    <s v="Se le notificó vía correo al reclamante que en  la base de datos de la CGR no  figura ninguna autorización de ordenes de pago vinculada a sus datos y se le comunicó que debe contactar a la institución con quién realizó el proceso."/>
    <d v="2022-08-25T00:00:00"/>
    <d v="2022-09-08T00:00:00"/>
    <s v="Dirección de Revisión y Control de Calidad"/>
    <s v="Cerrado"/>
    <x v="5"/>
  </r>
  <r>
    <n v="13"/>
    <s v="R03"/>
    <x v="1"/>
    <s v="Certificaciones de Cargos"/>
    <x v="2"/>
    <x v="0"/>
    <s v="La carta laboral no especifica la fecha correcta del ingreso"/>
    <s v="Bajo"/>
    <s v="Corregir y remitir la certificación"/>
    <s v="Remitir certificación mediante un link"/>
    <d v="2022-08-26T00:00:00"/>
    <d v="2022-08-26T00:00:00"/>
    <s v="División de Certificaciones de Cargos "/>
    <s v="Cerrado"/>
    <x v="1"/>
  </r>
  <r>
    <n v="14"/>
    <s v="R04"/>
    <x v="1"/>
    <s v="Autorización de Ordenes de pago "/>
    <x v="2"/>
    <x v="0"/>
    <s v="La reclamante solicitó información respecto al pago de la deuda del Hospital Marcelino Velez Santana entre 2016 y 2018."/>
    <s v="Bajo"/>
    <s v="Se canaliza la información con el área correspondiente para solicitar la actualización de su certificación de cargos."/>
    <m/>
    <d v="2022-09-07T00:00:00"/>
    <m/>
    <m/>
    <s v=""/>
    <x v="3"/>
  </r>
  <r>
    <n v="15"/>
    <s v="R05"/>
    <x v="1"/>
    <s v="Certificaciones de Cargos"/>
    <x v="2"/>
    <x v="0"/>
    <s v="La plataforma de Certificaciones de Cargos, no le permitia al reclamante proceder con la emisión de la certificación"/>
    <s v="Bajo"/>
    <s v="Enviar un mensaje al reclamante, diciendo que anexe los documentos para emitir desde la insititución"/>
    <s v="Enviar la Certificación al Ciudadano mediante el correo electronico suministrado"/>
    <d v="2022-09-06T00:00:00"/>
    <d v="2022-09-06T00:00:00"/>
    <s v="División de Certificaciones de Cargos "/>
    <s v="Cerrado"/>
    <x v="1"/>
  </r>
  <r>
    <n v="16"/>
    <s v="R06"/>
    <x v="1"/>
    <s v="Certificaciones de Cargos"/>
    <x v="2"/>
    <x v="0"/>
    <s v="la certificacion no contempla las labores a partir del 2021"/>
    <s v="Bajo"/>
    <s v="Contactarse con el reclamante  y suminitras la información necesaria "/>
    <s v="Enviar correo especificando que se necesita la copia de nomina de los años faltantes"/>
    <d v="2022-09-06T00:00:00"/>
    <d v="2022-09-07T00:00:00"/>
    <s v="División de Certificaciones de Cargos "/>
    <s v="Cerrado"/>
    <x v="2"/>
  </r>
  <r>
    <n v="17"/>
    <s v="Q08"/>
    <x v="0"/>
    <s v="Relaciones Laborales "/>
    <x v="2"/>
    <x v="0"/>
    <m/>
    <s v="Bajo"/>
    <m/>
    <m/>
    <m/>
    <m/>
    <s v="Dirección de Recursos Humanos "/>
    <s v=""/>
    <x v="3"/>
  </r>
  <r>
    <n v="18"/>
    <s v="R07"/>
    <x v="1"/>
    <s v="Departamento de Auditoría"/>
    <x v="2"/>
    <x v="0"/>
    <m/>
    <s v="Medio"/>
    <m/>
    <m/>
    <m/>
    <m/>
    <m/>
    <s v=""/>
    <x v="3"/>
  </r>
  <r>
    <n v="19"/>
    <s v="Q09"/>
    <x v="0"/>
    <s v="General"/>
    <x v="2"/>
    <x v="0"/>
    <s v="No se esta suministrando suficiente materiales gastables y no hay disponibilidad de agua "/>
    <s v="Alto"/>
    <s v="Crear una campaña concientización del debido uso de los recuros y áreas físicas de las institución"/>
    <s v="Se realizarán a traves de correos masivos y campaña de concientización"/>
    <d v="2022-09-08T00:00:00"/>
    <d v="2022-09-29T00:00:00"/>
    <s v="*Departamento Administrativo                           *Sección Mayordomía                          _x000a_*Servicios Generales                    _x000a_*Dirección de Recursos Humanos                                                  *Dirección de Comunicaciones "/>
    <s v="Cerrado"/>
    <x v="6"/>
  </r>
  <r>
    <n v="20"/>
    <s v="Q10"/>
    <x v="0"/>
    <s v="Certificaciones de Cargos"/>
    <x v="2"/>
    <x v="0"/>
    <s v="La plataforma de Certificaciones de Cargos, no le permitia al reclamante proceder con la emisión de la certificación"/>
    <s v="Bajo"/>
    <s v="El reclamante, pudo realizar la certificación luego de que redujo la calidad de la imagen "/>
    <s v="N/A"/>
    <d v="2022-09-12T00:00:00"/>
    <d v="2022-09-12T00:00:00"/>
    <s v="División de Certificaciones de Cargos "/>
    <s v="Cerrado"/>
    <x v="1"/>
  </r>
  <r>
    <n v="21"/>
    <s v="R08"/>
    <x v="1"/>
    <s v="Certificaciones de Cargos"/>
    <x v="2"/>
    <x v="0"/>
    <s v="Fecha de ingreso no corresponde con la de la certificación de cargos"/>
    <s v="Bajo"/>
    <s v="la insititución por la cual se realiza solicitud, su nomina parte a partir del 2014 por la Contraloría General de la República"/>
    <s v="Enviar un correo al reclamante suminitrandole la información"/>
    <d v="2022-09-23T00:00:00"/>
    <d v="2022-09-27T00:00:00"/>
    <s v="División de Certificaciones de Cargos "/>
    <s v="Cerrado"/>
    <x v="7"/>
  </r>
  <r>
    <n v="22"/>
    <s v="R09"/>
    <x v="1"/>
    <s v="Certificaciones de Cargos"/>
    <x v="2"/>
    <x v="0"/>
    <s v="Actualización de certificaciones de Cargos "/>
    <s v="Bajo"/>
    <s v="El reclamante debe proceder a realizar nuevamente  la solcitud de la certificaciones de cargos para la actualización"/>
    <s v="Enviar un correo al reclamante suminitrandole la información"/>
    <d v="2022-09-26T00:00:00"/>
    <d v="2022-09-27T00:00:00"/>
    <s v="División de Certificaciones de Cargos "/>
    <s v="Cerrado"/>
    <x v="2"/>
  </r>
  <r>
    <n v="23"/>
    <s v="R10"/>
    <x v="1"/>
    <s v="Certificaciones de Cargos"/>
    <x v="2"/>
    <x v="0"/>
    <s v="El reclamante solicitó una corrección en su certificación de cargo."/>
    <s v="Bajo"/>
    <s v="Se canaliza la información con el área correspondiente para solicitar la actualización de su certificación de cargos."/>
    <s v="Se le notificó al reclamante vía correo que debe hacer la solicitud a través de nuestro portal web."/>
    <d v="2022-09-29T00:00:00"/>
    <d v="2022-09-30T00:00:00"/>
    <s v="División de Certificaciones de Cargos "/>
    <s v="Cerrado"/>
    <x v="2"/>
  </r>
  <r>
    <n v="24"/>
    <s v="Q11"/>
    <x v="0"/>
    <s v="Servicios Personales"/>
    <x v="3"/>
    <x v="0"/>
    <s v="Duplicidad de nomina"/>
    <s v="Medio"/>
    <s v="Correo al reclamante para se comunique con la OAI"/>
    <s v="Se envia un correo al reclamante brindandole la información "/>
    <d v="2022-10-06T00:00:00"/>
    <d v="2022-10-07T00:00:00"/>
    <s v="Oficina De Acceso a la Información"/>
    <s v="Cerrado"/>
    <x v="2"/>
  </r>
  <r>
    <n v="25"/>
    <s v="S02"/>
    <x v="2"/>
    <s v="Certificaciones de Cargos"/>
    <x v="3"/>
    <x v="0"/>
    <s v="El reclamante extendió felicitaciones y agradecimientos por el servicio rápido y eficiente que le fue ofrecido."/>
    <s v="Bajo"/>
    <s v="N/A"/>
    <s v="N/A"/>
    <s v="N/A"/>
    <s v="N/A"/>
    <s v="N/A"/>
    <s v="Cerrado"/>
    <x v="3"/>
  </r>
  <r>
    <n v="26"/>
    <s v="R11"/>
    <x v="1"/>
    <s v="Certificaciones de Cargos"/>
    <x v="3"/>
    <x v="0"/>
    <s v="El reclamante indicó que tiene dos nombramientos en su certificación de cargo."/>
    <s v="Bajo"/>
    <s v="Se canaliza la información con el área correspondiente para solicitar la corrección de su certificación de cargos."/>
    <s v="Se le notificó vía correo al reclamante que en la base de datos de la CGR figura que en noviembre del 2013 estuvo ejerciendo otro cargo en el mismo ministerio."/>
    <d v="2022-10-06T00:00:00"/>
    <d v="2022-10-07T00:00:00"/>
    <s v="División de Certificaciones de Cargos "/>
    <s v="Cerrado"/>
    <x v="2"/>
  </r>
  <r>
    <n v="27"/>
    <s v="R12"/>
    <x v="1"/>
    <s v="Certificaciones de Cargos"/>
    <x v="3"/>
    <x v="0"/>
    <s v="El reclamante exigio que se le reconozca el tiempo de servicio en el ejercito."/>
    <s v="Bajo"/>
    <s v="La Contraloría General de la República no emite certificaciones de las entidades castrences."/>
    <s v="No se emite correo, debido a que la persona no suminsitro medio de comunicación"/>
    <d v="2022-10-14T00:00:00"/>
    <d v="2022-10-14T00:00:00"/>
    <s v="División de Certificaciones de Cargos "/>
    <s v="Cerrado"/>
    <x v="1"/>
  </r>
  <r>
    <n v="28"/>
    <s v="R13"/>
    <x v="1"/>
    <s v="Certificaciones de Cargos"/>
    <x v="3"/>
    <x v="0"/>
    <s v="La reclamante solicitó una verificación en la fecha de ingreso a sus labores plasmada en su certificación de cargo."/>
    <s v="Bajo"/>
    <s v="Se canaliza la información con el área correspondiente para solicitar la verificación de su certificación de cargos."/>
    <s v="Se le notificó vía correo al reclamante que la corrección no puede ser realizada, debido a que la CGR empieza a recibir su nómina a partir del 2014."/>
    <d v="2022-10-18T00:00:00"/>
    <d v="2022-10-21T00:00:00"/>
    <s v="División de Certificaciones de Cargos "/>
    <s v="Cerrado"/>
    <x v="8"/>
  </r>
  <r>
    <n v="29"/>
    <s v="R14"/>
    <x v="1"/>
    <s v="Certificaciones de Cargos"/>
    <x v="3"/>
    <x v="0"/>
    <s v="El reclamante expresaba que necesitaba una solicitud de certificaciones de cargos."/>
    <s v="Bajo"/>
    <s v="Se procedio a enviar un correo al reclamante."/>
    <s v="Se enviar un correo al reclamante con el link para realizar una certificación de cargos"/>
    <d v="2022-10-20T00:00:00"/>
    <d v="2022-10-24T00:00:00"/>
    <s v="División de Certificaciones de Cargos "/>
    <s v="Cerrado"/>
    <x v="1"/>
  </r>
  <r>
    <n v="30"/>
    <s v="R15"/>
    <x v="1"/>
    <s v="Certificaciones de Cargos"/>
    <x v="3"/>
    <x v="0"/>
    <s v="El reclamante no puede acceder a la página de certificaciones de cargos"/>
    <s v="Bajo"/>
    <s v="Se retifica el url mediante vía electronica y/o enviar los documentos necesarios para realizar dicha solicitud de certificación de cargos."/>
    <s v="Enviar un correo electrónico al reclamante con las soluciones pertenecientes"/>
    <d v="2022-10-21T00:00:00"/>
    <d v="2022-10-21T00:00:00"/>
    <s v="División de Certificaciones de Cargos "/>
    <s v="Cerrado"/>
    <x v="2"/>
  </r>
  <r>
    <n v="31"/>
    <s v="R16"/>
    <x v="1"/>
    <s v="Certificaciones de Cargos"/>
    <x v="3"/>
    <x v="0"/>
    <s v="El reclamante exigia que se le reconozca los 3 años de servicios prestados en el Ministerio de Cultura"/>
    <s v="Bajo"/>
    <s v="Se puede percibir mediante la carta suministrado por el ministerio, que su labor no es dependiente del ministerio."/>
    <s v="Enviar un correo informando que debe conctarse con el área de recursos humanos"/>
    <d v="2022-10-21T00:00:00"/>
    <d v="2022-10-24T00:00:00"/>
    <s v="División Certificaciones de Cargos"/>
    <s v="Cerrado"/>
    <x v="8"/>
  </r>
  <r>
    <n v="32"/>
    <s v="R17"/>
    <x v="1"/>
    <s v="Certificaciones de Cargos"/>
    <x v="3"/>
    <x v="0"/>
    <s v="La reclamante indicó que estuvo teniendo problemas para enviar la solicitud de certificación de cargo a través del portal web. "/>
    <s v="Bajo"/>
    <s v="Se hablo con la persona vía telefónica y el reclamante habia expresado, que intento nuevamente y la plataforma le permitio proceder a realizar la solicitud"/>
    <s v="N/A"/>
    <d v="2022-10-27T00:00:00"/>
    <d v="2022-11-01T00:00:00"/>
    <s v="División de Certificaciones de Cargos "/>
    <s v="Cerrado"/>
    <x v="9"/>
  </r>
  <r>
    <n v="33"/>
    <s v="R18"/>
    <x v="1"/>
    <s v="Certificaciones de Cargos"/>
    <x v="3"/>
    <x v="0"/>
    <s v="El reclamante expresa que se revise las fechas emitidas de la certificación de cargos"/>
    <s v="Bajo"/>
    <s v="La persona  no habia cargado la carga de trabajo de la institución correspondiente"/>
    <s v="Se procede a enviarle un correo con la solución para llevar a cabo"/>
    <d v="2022-10-27T00:00:00"/>
    <d v="2022-11-17T00:00:00"/>
    <s v="División de Certificaciones de Cargos "/>
    <s v="Cerrado"/>
    <x v="4"/>
  </r>
  <r>
    <n v="34"/>
    <s v="Q12"/>
    <x v="0"/>
    <s v="Solicitud de vacaciones"/>
    <x v="3"/>
    <x v="0"/>
    <s v="El reclamante expresa que no a podido tomar las vacaciones "/>
    <s v="Bajo"/>
    <s v="Se observa que independientemente de la carga de sobre la cantidad de solicitud de vacaciones de los colaboradores, esta fue aprobada en un periodo laborable de 2 dias."/>
    <s v="La dirección de Recursos Humanos expresa vía correo electrónico, que su solicitud fue aprobada"/>
    <d v="2022-10-27T00:00:00"/>
    <d v="2022-11-03T00:00:00"/>
    <s v="Dirección de Recursos Humanos "/>
    <s v="Cerrado"/>
    <x v="7"/>
  </r>
  <r>
    <n v="35"/>
    <s v="R19"/>
    <x v="1"/>
    <s v="Certificaciones de Cargos"/>
    <x v="3"/>
    <x v="0"/>
    <s v="El reclamane pide que se le actualize su certificación de Cargos"/>
    <s v="Bajo"/>
    <s v="Se envia un correo electrónico con un link anexado para proceder a realizar la certificación de cargos"/>
    <s v="Se envia un correo electrónico al reclamante con un link adjunto para solicitar una certificación de cargos"/>
    <d v="2022-11-03T00:00:00"/>
    <d v="2022-11-07T00:00:00"/>
    <s v="División de Certificaciones de Cargos "/>
    <s v="Cerrado"/>
    <x v="3"/>
  </r>
  <r>
    <n v="36"/>
    <s v="R20"/>
    <x v="1"/>
    <s v="Certificaciones de Cargos"/>
    <x v="3"/>
    <x v="0"/>
    <s v="El reclamane pide que se le actualize las fechas de su certificación de Cargos"/>
    <s v="Bajo"/>
    <s v="No se produce solución de queja debido a que la persona no contesta los correos ni toma las llamadas telefónicas"/>
    <s v="N/A"/>
    <s v="N/A"/>
    <s v="N/A"/>
    <s v="División de Certificaciones de Cargos "/>
    <s v="Cerrado"/>
    <x v="1"/>
  </r>
  <r>
    <n v="37"/>
    <s v="R21"/>
    <x v="1"/>
    <s v="Certificaciones de Cargos"/>
    <x v="3"/>
    <x v="0"/>
    <s v="El reclame pide una solicitud de Certificaciones de Cargos"/>
    <s v="Bajo"/>
    <s v="Se le envia un correo electrónico para proceder a realizar una certificación de cargos"/>
    <s v="Se le envia un correo electrónico para actualizar la certificación de cargos"/>
    <d v="2022-11-14T00:00:00"/>
    <d v="2022-11-14T00:00:00"/>
    <s v="División de Certificaciones de Cargos "/>
    <s v="Cerrado"/>
    <x v="8"/>
  </r>
  <r>
    <n v="38"/>
    <s v="R22"/>
    <x v="1"/>
    <s v="Certificaciones de Cargos"/>
    <x v="3"/>
    <x v="0"/>
    <s v="El reclamane pide que se le actualize las fechas de su certificación de cargos."/>
    <s v="Bajo"/>
    <s v="Se envia un correo electrónico con un link anexado para proceder a realizar la certificación de cargos"/>
    <s v="Se envia un correo electrónico al reclamante con un link adjunto para solicitar una certificación de cargos"/>
    <d v="2022-11-14T00:00:00"/>
    <d v="2022-11-17T00:00:00"/>
    <s v="División de Certificaciones de Cargos "/>
    <s v="Cerrado"/>
    <x v="3"/>
  </r>
  <r>
    <n v="39"/>
    <s v="R23"/>
    <x v="1"/>
    <s v="Consulta de Libramiento"/>
    <x v="3"/>
    <x v="0"/>
    <s v="El reclamante notifico que presentava problemas para acceder a la consulta de libramiento de proveedores"/>
    <s v="Bajo"/>
    <m/>
    <m/>
    <d v="2022-11-22T00:00:00"/>
    <m/>
    <m/>
    <s v=""/>
    <x v="0"/>
  </r>
  <r>
    <n v="40"/>
    <s v="R24"/>
    <x v="1"/>
    <s v="Certificaciones de Cargos"/>
    <x v="3"/>
    <x v="0"/>
    <s v="El reclamante expresa que se revise las fechas emitidas de la certificación de cargos"/>
    <s v="Bajo"/>
    <s v="Se le envia un correo electrónico explicando al reclamante que los tiempos se encuentran correctos"/>
    <s v="Enviar un correo electrónico explicando la información respecto a la certitificación de cargos"/>
    <d v="2022-11-24T00:00:00"/>
    <d v="2022-11-30T00:00:00"/>
    <s v="División de Certificaciones de Cargos "/>
    <s v="Cerrado"/>
    <x v="4"/>
  </r>
  <r>
    <n v="41"/>
    <s v="R25"/>
    <x v="1"/>
    <s v="Certificaciones de Cargos"/>
    <x v="3"/>
    <x v="0"/>
    <s v="El reclamante expresa que se revise las fechas emitidas de la certificación de cargos."/>
    <s v="Bajo"/>
    <s v="Se procede a actualizar los datos con respecto a la certificación de cargos"/>
    <s v="Se le envia la certificación de cargos por via de correo electrónico al reclamante"/>
    <d v="2022-11-25T00:00:00"/>
    <d v="2022-12-02T00:00:00"/>
    <s v="División de Certificaciones de Cargos "/>
    <s v="Cerrado"/>
    <x v="2"/>
  </r>
  <r>
    <n v="42"/>
    <s v="R26"/>
    <x v="1"/>
    <s v="Certificaciones de Cargos"/>
    <x v="3"/>
    <x v="0"/>
    <s v="El reclamante especifica que habia solicitado una certificación hace dos meses y no recibido respuest"/>
    <s v="Bajo"/>
    <s v="Se preve en el sistema que el reclamante no habia solicitado la certificación de cargos "/>
    <s v="Se le notifica al reclamante via correo electrónico que las instituciones que envió no se certifican por la Contraloría"/>
    <d v="2022-12-01T00:00:00"/>
    <d v="2022-12-02T00:00:00"/>
    <s v="División de Certificaciones de Cargos "/>
    <s v="Cerrado"/>
    <x v="4"/>
  </r>
  <r>
    <n v="43"/>
    <s v="Q13"/>
    <x v="0"/>
    <s v="Certificaciones de Cargos"/>
    <x v="3"/>
    <x v="0"/>
    <s v="El reclamante no pudo subir los archivos para realizar la certificación."/>
    <s v="Bajo"/>
    <s v="Se procedio a solicitar los datos correspondiente a la certificaciones de cargo y canalizarla al área correspondiente para su elaboración"/>
    <s v="Se envio un correo electrónico al reclamante, notificandole que la certificación estaba finalizada}"/>
    <d v="2022-12-08T00:00:00"/>
    <d v="2022-12-15T00:00:00"/>
    <s v="División de Certificaciones de Cargos "/>
    <s v="Cerrado"/>
    <x v="1"/>
  </r>
  <r>
    <n v="44"/>
    <s v="R27"/>
    <x v="1"/>
    <s v="Certificaciones de Cargos"/>
    <x v="3"/>
    <x v="0"/>
    <s v="El reclamante expreso que el servicio de transporte se retraso a la hora establecida en la que la pasaria a buscar, asi tambien en la hora para que las personas fuesen recogidas de la actividad "/>
    <s v="Bajo"/>
    <s v="Se le sostuvo una reunión con la sección de transportación, donde se reitero que el chofer fue una serie de veces y no se encontraba el personal del piso 11"/>
    <s v="Se produjo una acción de mejora de parte de la Sección de Transportación, la cual llamaba a reunión para mitigar los problemas con respecto al transporte"/>
    <d v="2022-12-12T00:00:00"/>
    <d v="2022-12-12T00:00:00"/>
    <s v="Servicio de Transportación"/>
    <s v="Cerrado"/>
    <x v="10"/>
  </r>
  <r>
    <n v="45"/>
    <s v="Q14"/>
    <x v="0"/>
    <s v="Servicio de Transportación"/>
    <x v="3"/>
    <x v="0"/>
    <s v="El reclamante expresa que el las variades de restaurante disponibles es poca, que deberia de tener más, asi como en la sede"/>
    <s v="Bajo"/>
    <s v="Se transmite el comunicado a la Direción Administrativa Financiera, la misma comunica que las variedades depende de la capacidad de los colaboradores que disposnga dicha estructura física, por lo cual solo habia 1 restaurante a disposición-"/>
    <s v="Se envia comunicado  a los distribuidores para añadir más opciones de restaurante."/>
    <d v="2022-12-12T00:00:00"/>
    <d v="2022-12-21T00:00:00"/>
    <s v="Servicios de comida "/>
    <s v="Cerrado"/>
    <x v="3"/>
  </r>
  <r>
    <n v="46"/>
    <s v="Q15"/>
    <x v="0"/>
    <s v="Servicios de comida"/>
    <x v="3"/>
    <x v="0"/>
    <m/>
    <s v="Bajo"/>
    <m/>
    <m/>
    <m/>
    <m/>
    <s v="División de Certificaciones de Cargos "/>
    <s v=""/>
    <x v="3"/>
  </r>
  <r>
    <n v="47"/>
    <s v="R28"/>
    <x v="1"/>
    <s v="Certificaciones de Cargos"/>
    <x v="3"/>
    <x v="0"/>
    <s v="El reclamante indica que su fecha de entrada a la institución donde labora no coincide con la expuesta en su certificación de cargo."/>
    <s v="Bajo"/>
    <s v="Se canaliza la información con el área correspondiente para solicitar la actualización de su certificación de cargos."/>
    <s v="Se le notificó vía correo que la corrección no puede ser realizada, debido a que la debido a que la CGR empieza a recibir su nómina a partir del 2014."/>
    <d v="2023-12-26T00:00:00"/>
    <d v="2023-12-27T00:00:00"/>
    <s v="División de Certificaciones de Cargos "/>
    <s v="Cerrado"/>
    <x v="2"/>
  </r>
  <r>
    <n v="48"/>
    <s v="R29"/>
    <x v="1"/>
    <s v="Certificaciones de Cargos "/>
    <x v="0"/>
    <x v="1"/>
    <s v="El reclamante solicitó una actualización en su certificación de cargo."/>
    <s v="Bajo"/>
    <s v="Se canaliza la información con el área correspondiente para solicitar la actualización de su certificación de cargos."/>
    <s v="Se le notificó vía correo al reclamante que su certificación de cargos fue actualizada."/>
    <d v="2023-01-31T00:00:00"/>
    <d v="2023-02-06T00:00:00"/>
    <s v="División de Certificaciones de Cargos "/>
    <s v="Cerrado"/>
    <x v="0"/>
  </r>
  <r>
    <n v="49"/>
    <s v="R30"/>
    <x v="1"/>
    <s v="Certificaciones de Cargos "/>
    <x v="0"/>
    <x v="1"/>
    <s v="El reclamante solicitó una actualización en su certificación de cargo."/>
    <s v="Bajo"/>
    <s v="Se canaliza la información con el área correspondiente para solicitar la actualización de su certificación de cargos."/>
    <s v="Se le notificó por teléfono al reclamante que su certificación de cargos fue actualizada."/>
    <d v="2023-02-06T00:00:00"/>
    <d v="2023-02-08T00:00:00"/>
    <s v="División de Certificaciones de Cargos "/>
    <s v="Cerrado"/>
    <x v="7"/>
  </r>
  <r>
    <n v="50"/>
    <s v="311-5"/>
    <x v="2"/>
    <s v="Auditoría Interna Gubernamental"/>
    <x v="0"/>
    <x v="1"/>
    <m/>
    <s v="Bajo"/>
    <m/>
    <m/>
    <m/>
    <m/>
    <m/>
    <s v=""/>
    <x v="3"/>
  </r>
  <r>
    <n v="51"/>
    <s v="R31"/>
    <x v="1"/>
    <s v="Certificaciones de Cargos "/>
    <x v="0"/>
    <x v="1"/>
    <s v="El reclamante solicitó una corrección en su certificación de cargo."/>
    <s v="Medi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2"/>
    <s v="R32"/>
    <x v="1"/>
    <s v="Certificaciones de Cargos "/>
    <x v="0"/>
    <x v="1"/>
    <s v="El reclamante solicitó una corrección en su certificación de cargo."/>
    <s v="Baj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3"/>
    <s v="R33"/>
    <x v="1"/>
    <s v="Certificaciones de Cargos "/>
    <x v="0"/>
    <x v="1"/>
    <s v="La reclamante solicitó una certificación de cargos para fines de pensión."/>
    <s v="Bajo"/>
    <s v="Se canaliza la información con el área correspondiente para solicitar la actualización de su certificación de cargos."/>
    <s v="Se le notificó vía correo a la reclamante que debe realizar la solicitud de su certificación de cargo a través de nuestro portal web."/>
    <d v="2023-05-18T00:00:00"/>
    <d v="2023-05-18T00:00:00"/>
    <s v="División de Certificaciones de Cargos "/>
    <s v="Cerrado"/>
    <x v="1"/>
  </r>
  <r>
    <n v="54"/>
    <s v="R34"/>
    <x v="1"/>
    <s v="Certificaciones de Cargos "/>
    <x v="0"/>
    <x v="1"/>
    <s v="El reclamante se equivocó de institución al realizar su reclamación."/>
    <s v="Bajo"/>
    <s v="Se redireccionó la reclamación a la institución correspondiente."/>
    <s v="Se le notificó vía correo al reclamante que su reclamación debe ser dirigida hacia la institución correspondiente."/>
    <d v="2023-05-23T00:00:00"/>
    <d v="2023-05-23T00:00:00"/>
    <s v="División de Certificaciones de Cargos "/>
    <s v="Cerrado"/>
    <x v="1"/>
  </r>
  <r>
    <n v="55"/>
    <s v="R35"/>
    <x v="1"/>
    <s v="Certificaciones de Cargos "/>
    <x v="0"/>
    <x v="1"/>
    <s v="La reclamante solicitó la convalidación de los años trabajados anteriores."/>
    <s v="Bajo"/>
    <s v="Se canaliza la información con el área correspondiente para solicitar la actualización de su certificación de cargos."/>
    <s v="Se le notificó a la reclamante vía correo que para proceder con la convalidación, debe realizar una solicitud a través de nuestro portal web."/>
    <d v="2023-05-17T00:00:00"/>
    <d v="2023-05-18T00:00:00"/>
    <s v="División de Certificaciones de Cargos "/>
    <s v="Cerrado"/>
    <x v="2"/>
  </r>
  <r>
    <n v="56"/>
    <s v="R36"/>
    <x v="1"/>
    <s v="Certificaciones de Cargos "/>
    <x v="0"/>
    <x v="1"/>
    <s v="La reclamante solicitó una correc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08."/>
    <d v="2023-05-22T00:00:00"/>
    <d v="2023-05-22T00:00:00"/>
    <s v="División de Certificaciones de Cargos "/>
    <s v="Cerrado"/>
    <x v="1"/>
  </r>
  <r>
    <n v="57"/>
    <s v="Q16"/>
    <x v="0"/>
    <s v="Certificaciones de Cargos "/>
    <x v="0"/>
    <x v="1"/>
    <s v="La reclamante se equivocó de institución al realizar su reclamación."/>
    <s v="Bajo"/>
    <s v="El caso fue cerrado porque la reclamante no estableció un medio de contacto."/>
    <s v="N/A"/>
    <d v="2023-03-03T00:00:00"/>
    <d v="2023-03-03T00:00:00"/>
    <s v="División de Certificaciones de Cargos "/>
    <s v="Cerrado"/>
    <x v="1"/>
  </r>
  <r>
    <n v="58"/>
    <s v="R37"/>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59"/>
    <s v="R38"/>
    <x v="1"/>
    <s v="Certificaciones de Cargos "/>
    <x v="0"/>
    <x v="1"/>
    <s v="La reclamante solicitó una correción en la certificación de cargo del Sr. Carlos Rodríguez."/>
    <s v="Bajo"/>
    <s v="Se canaliza la información con el área correspondiente para solicitar la actualización de su certificación de cargos."/>
    <s v="Se le notificó a la reclamante vía correo que la corrección fue realizada."/>
    <d v="2023-05-17T00:00:00"/>
    <d v="2023-05-18T00:00:00"/>
    <s v="División de Certificaciones de Cargos "/>
    <s v="Cerrado"/>
    <x v="2"/>
  </r>
  <r>
    <n v="60"/>
    <s v="R39"/>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1"/>
    <s v="R40"/>
    <x v="1"/>
    <s v="Certificaciones de Cargos "/>
    <x v="0"/>
    <x v="1"/>
    <s v="La reclamante solicitó agregar su período laborado en el Gabinete de Políticas Sociales en su certificación de cargo."/>
    <s v="Bajo"/>
    <s v="Se canaliza la información con el área correspondiente para solicitar la actualización de su certificación de cargos."/>
    <s v="Se le notificó a la reclamante vía correo que no es posible proceder con la inclusión de su tiempo laborado en esa institución porque la misma no es certificada por la CGR."/>
    <d v="2023-05-17T00:00:00"/>
    <d v="2023-05-19T00:00:00"/>
    <s v="División de Certificaciones de Cargos "/>
    <s v="Cerrado"/>
    <x v="7"/>
  </r>
  <r>
    <n v="62"/>
    <s v="R41"/>
    <x v="1"/>
    <s v="Certificaciones de Cargos "/>
    <x v="0"/>
    <x v="1"/>
    <s v="La reclamante solició una corre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13."/>
    <d v="2023-05-17T00:00:00"/>
    <d v="2023-05-19T00:00:00"/>
    <s v="División de Certificaciones de Cargos "/>
    <s v="Cerrado"/>
    <x v="7"/>
  </r>
  <r>
    <n v="63"/>
    <s v="S03"/>
    <x v="2"/>
    <s v="Certificaciones de Cargos "/>
    <x v="0"/>
    <x v="1"/>
    <s v="El reclamante solició una actualización en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4"/>
    <s v="R42"/>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5"/>
    <s v="R43"/>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6"/>
    <s v="R44"/>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22T00:00:00"/>
    <d v="2023-05-22T00:00:00"/>
    <s v="División de Certificaciones de Cargos "/>
    <s v="Cerrado"/>
    <x v="1"/>
  </r>
  <r>
    <n v="67"/>
    <s v="S04"/>
    <x v="2"/>
    <s v="Certificaciones de Cargos "/>
    <x v="0"/>
    <x v="1"/>
    <s v="El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8"/>
    <s v="Q17"/>
    <x v="0"/>
    <s v="Servicio de Transportación"/>
    <x v="0"/>
    <x v="1"/>
    <s v="El reclamante explica que el personal que pertenece a la CGR de la ruta Villa Mella se está llendo parada porque existe personal de otras instituciones que también se está llendo en dicha ruta."/>
    <s v="Alto"/>
    <s v="Se canaliza la información con el área correspondiente para dar solución a la situación planteada por el reclamante."/>
    <m/>
    <d v="2023-05-15T00:00:00"/>
    <d v="2023-06-01T00:00:00"/>
    <s v="Departamento Administrativo"/>
    <s v="Cerrado"/>
    <x v="11"/>
  </r>
  <r>
    <n v="69"/>
    <s v="R45"/>
    <x v="1"/>
    <s v="Certificaciones de Cargos "/>
    <x v="1"/>
    <x v="1"/>
    <s v="El reclamante solicitó una corrección en su salario plasmado en su certificación de cargo."/>
    <s v="Bajo"/>
    <s v="Se canaliza la información con el área correspondiente para solicitar la actualización de su certificación de cargos."/>
    <s v="Se le notificó al reclamante vía correo que debe realizar nueamente la solicitud a través de nuestro portal web."/>
    <d v="2023-05-17T00:00:00"/>
    <d v="2023-05-18T00:00:00"/>
    <s v="División de Certificaciones de Cargos "/>
    <s v="Cerrado"/>
    <x v="2"/>
  </r>
  <r>
    <n v="70"/>
    <s v="R46"/>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las razones por las cuales no se pueden realizar las correcciones solicitadas en su certificación de cargo."/>
    <d v="2023-05-17T00:00:00"/>
    <d v="2023-05-19T00:00:00"/>
    <s v="División de Certificaciones de Cargos "/>
    <s v="Cerrado"/>
    <x v="7"/>
  </r>
  <r>
    <n v="71"/>
    <s v="311-6"/>
    <x v="2"/>
    <s v="N/A"/>
    <x v="1"/>
    <x v="1"/>
    <s v="La reclamante se equivocó de institución al realizar su sugerencia."/>
    <s v="Bajo"/>
    <s v="Redireccionar a la Dirección General de Presupuesto."/>
    <s v="Enviar correo a la reclamante notificandole donde realizar la reclamación "/>
    <d v="2023-04-17T00:00:00"/>
    <d v="2023-04-17T00:00:00"/>
    <s v="Oficina De Acceso a la Información"/>
    <s v="Cerrado"/>
    <x v="1"/>
  </r>
  <r>
    <n v="72"/>
    <s v="311-7"/>
    <x v="2"/>
    <s v="N/A"/>
    <x v="1"/>
    <x v="1"/>
    <s v="La reclamante se equivocó de institución al realizar su sugerencia."/>
    <s v="Bajo"/>
    <s v="Redireccionar a la Dirección General de Impuestos Internos."/>
    <s v="Enviar correo a la reclamante notificandole donde realizar la reclamación "/>
    <d v="2023-04-25T00:00:00"/>
    <d v="2023-04-25T00:00:00"/>
    <s v="Oficina De Acceso a la Información"/>
    <s v="Cerrado"/>
    <x v="1"/>
  </r>
  <r>
    <n v="73"/>
    <s v="Q18"/>
    <x v="0"/>
    <s v="Servicio de Mayordomía"/>
    <x v="1"/>
    <x v="1"/>
    <s v="El reclamante indica que no está recibiendo agua potable y tiene que comprarla con sus propios recursos."/>
    <s v="Alto"/>
    <s v="Se canaliza la información con el área correspondiente para dar solución a la situación planteada por el reclamante."/>
    <m/>
    <d v="2023-05-15T00:00:00"/>
    <d v="2023-06-01T00:00:00"/>
    <s v="Departamento Administrativo"/>
    <s v="Cerrado"/>
    <x v="11"/>
  </r>
  <r>
    <n v="74"/>
    <s v="R47"/>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75"/>
    <s v="R48"/>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6"/>
    <s v="R49"/>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7"/>
    <s v="Q19"/>
    <x v="0"/>
    <s v="Relaciones Laborales"/>
    <x v="1"/>
    <x v="1"/>
    <s v="El reclamante indica que hay una persona en la División de Certificaciones de Cargos que sostiene un &quot;amorío&quot; con un colaborador de la misma, lo cual impacta negativamente en el desarrollo de sus actividades diarias en la división."/>
    <s v="Alto"/>
    <m/>
    <m/>
    <d v="2023-05-23T00:00:00"/>
    <m/>
    <s v="Dirección de Recursos Humanos "/>
    <s v=""/>
    <x v="3"/>
  </r>
  <r>
    <n v="78"/>
    <s v="R50"/>
    <x v="1"/>
    <s v="Sistema TRE"/>
    <x v="1"/>
    <x v="1"/>
    <s v="El reclamante expresó que tuvo problemas para accesar al sistema TRE."/>
    <s v="Medio"/>
    <s v="Se canaliza la información con el área correspondiente."/>
    <s v="El reclamante recibió asistencia por teléfono de parte de Mesa de Ayuda."/>
    <d v="2023-05-22T00:00:00"/>
    <d v="2023-05-24T00:00:00"/>
    <s v="Mesa de Ayuda"/>
    <s v="Cerrado"/>
    <x v="7"/>
  </r>
  <r>
    <n v="79"/>
    <s v="R51"/>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6-05T00:00:00"/>
    <d v="2023-06-05T00:00:00"/>
    <s v="División de Certificaciones de Cargos "/>
    <s v="Cerrado"/>
    <x v="1"/>
  </r>
  <r>
    <n v="80"/>
    <n v="0"/>
    <x v="3"/>
    <n v="0"/>
    <x v="4"/>
    <x v="2"/>
    <m/>
    <n v="0"/>
    <m/>
    <m/>
    <m/>
    <m/>
    <m/>
    <m/>
    <x v="3"/>
  </r>
  <r>
    <n v="81"/>
    <n v="0"/>
    <x v="3"/>
    <n v="0"/>
    <x v="4"/>
    <x v="2"/>
    <m/>
    <n v="0"/>
    <m/>
    <m/>
    <m/>
    <m/>
    <m/>
    <m/>
    <x v="3"/>
  </r>
  <r>
    <n v="82"/>
    <n v="0"/>
    <x v="3"/>
    <n v="0"/>
    <x v="4"/>
    <x v="2"/>
    <m/>
    <n v="0"/>
    <m/>
    <m/>
    <m/>
    <m/>
    <m/>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x v="0"/>
    <x v="0"/>
    <s v="Queja"/>
    <x v="0"/>
    <s v="T1"/>
    <n v="2022"/>
    <s v="Isidro Cruz "/>
    <s v="829-747-9948"/>
    <s v="N/A"/>
    <s v="Certificaciones de Cargos"/>
    <n v="1"/>
    <n v="2"/>
    <n v="2"/>
    <s v="Bajo"/>
    <x v="0"/>
    <x v="0"/>
    <s v="311-1"/>
    <s v="Línea 311"/>
    <s v="Interno "/>
    <s v="Masculino"/>
  </r>
  <r>
    <x v="1"/>
    <x v="1"/>
    <s v="Queja"/>
    <x v="1"/>
    <s v="T1"/>
    <n v="2022"/>
    <s v="Aridio Morillo"/>
    <s v="829-587-3432"/>
    <s v="aridiomorillo72@gmail.com"/>
    <s v="Correspondencia"/>
    <n v="1"/>
    <n v="2"/>
    <n v="2"/>
    <s v="Bajo"/>
    <x v="0"/>
    <x v="1"/>
    <s v="Q01"/>
    <s v="Buzón Físico"/>
    <s v="Externo "/>
    <s v="Masculino"/>
  </r>
  <r>
    <x v="2"/>
    <x v="2"/>
    <s v="Queja"/>
    <x v="2"/>
    <s v="T2"/>
    <n v="2022"/>
    <s v="Lea Feliz Feliz"/>
    <s v="809-669-8822"/>
    <s v="N/A"/>
    <s v="Pago SNS"/>
    <n v="2"/>
    <n v="1"/>
    <n v="2"/>
    <s v="Bajo"/>
    <x v="0"/>
    <x v="2"/>
    <s v="311-2"/>
    <s v="Línea 311"/>
    <s v="Externo "/>
    <s v="Femenino"/>
  </r>
  <r>
    <x v="3"/>
    <x v="3"/>
    <s v="Queja"/>
    <x v="3"/>
    <s v="T2"/>
    <n v="2022"/>
    <s v="Niurka Nuñez"/>
    <s v="809-750-6255"/>
    <s v="N/A"/>
    <s v="N/A"/>
    <n v="2"/>
    <n v="1"/>
    <n v="2"/>
    <s v="Bajo"/>
    <x v="0"/>
    <x v="3"/>
    <s v="Q04"/>
    <s v="Buzón Físico"/>
    <s v="Interno "/>
    <s v="Femenino"/>
  </r>
  <r>
    <x v="4"/>
    <x v="4"/>
    <s v="Queja"/>
    <x v="4"/>
    <s v="T2"/>
    <n v="2022"/>
    <s v="Martines Laurencio"/>
    <s v="809-816-1189"/>
    <s v="martineslaurencio86@gmail.com"/>
    <s v="Certificaciones de Cargos"/>
    <n v="1"/>
    <n v="2"/>
    <n v="2"/>
    <s v="Bajo"/>
    <x v="0"/>
    <x v="4"/>
    <s v="Q03"/>
    <s v="Buzón Físico"/>
    <s v="Externo "/>
    <s v="Masculino"/>
  </r>
  <r>
    <x v="5"/>
    <x v="5"/>
    <s v="Queja"/>
    <x v="5"/>
    <s v="T2"/>
    <n v="2022"/>
    <s v="Guillian Gonzales"/>
    <s v="809-703-4972"/>
    <s v="gonzalesguillian@gmail.com"/>
    <s v="Concursos de oposición"/>
    <n v="1"/>
    <n v="1"/>
    <n v="1"/>
    <s v="Bajo"/>
    <x v="0"/>
    <x v="2"/>
    <s v="311-3"/>
    <s v="Línea 311"/>
    <s v="Externo "/>
    <s v="Masculino"/>
  </r>
  <r>
    <x v="6"/>
    <x v="6"/>
    <s v="Reclamación "/>
    <x v="6"/>
    <s v="T3"/>
    <n v="2022"/>
    <s v="Alberth Melo "/>
    <s v="849-362-1985"/>
    <s v="Alberthyoung@hotmail.com"/>
    <s v="Certificaciones de Cargos"/>
    <n v="1"/>
    <n v="2"/>
    <n v="2"/>
    <s v="Bajo"/>
    <x v="0"/>
    <x v="4"/>
    <s v="311-4"/>
    <s v="Línea 311"/>
    <s v="Externo "/>
    <s v="Masculino"/>
  </r>
  <r>
    <x v="7"/>
    <x v="7"/>
    <s v="Queja"/>
    <x v="7"/>
    <s v="T3"/>
    <n v="2022"/>
    <s v="Martha Infante"/>
    <s v="809-303-1468"/>
    <s v="marinfante42@yahoo.com"/>
    <s v="Datos del colaborador"/>
    <n v="1"/>
    <n v="3"/>
    <n v="3"/>
    <s v="Medio"/>
    <x v="0"/>
    <x v="5"/>
    <s v="Q06"/>
    <s v="Buzón Físico"/>
    <s v="Interno"/>
    <s v="Femenino"/>
  </r>
  <r>
    <x v="8"/>
    <x v="8"/>
    <s v="Reclamación "/>
    <x v="8"/>
    <s v="T3"/>
    <n v="2022"/>
    <s v="Esterbina "/>
    <s v="849-358-8793"/>
    <s v="omarreyesramirez@gmail.com "/>
    <s v="Autorización de Ordenes de pago "/>
    <n v="1"/>
    <n v="1"/>
    <n v="1"/>
    <s v="Bajo"/>
    <x v="0"/>
    <x v="6"/>
    <s v="R01"/>
    <s v="Buzón Web"/>
    <s v="Externo "/>
    <s v="Femenino"/>
  </r>
  <r>
    <x v="9"/>
    <x v="9"/>
    <s v="Reclamación "/>
    <x v="8"/>
    <s v="T3"/>
    <n v="2022"/>
    <s v="Francisco Guzman "/>
    <s v="809-665-7607"/>
    <s v="omarreyesramirez@gmail.com "/>
    <s v="Certificaciones de Cargos"/>
    <n v="2"/>
    <n v="2"/>
    <n v="4"/>
    <s v="Medio"/>
    <x v="0"/>
    <x v="4"/>
    <s v="R02"/>
    <s v="Buzón Web"/>
    <s v="Externo "/>
    <s v="Masculino"/>
  </r>
  <r>
    <x v="10"/>
    <x v="10"/>
    <s v="Sugerencia "/>
    <x v="9"/>
    <s v="T3"/>
    <n v="2022"/>
    <s v="Marisol Landais "/>
    <s v="N/A"/>
    <s v="mlandais@contraloria.gob.do"/>
    <s v="Servicio de Comida"/>
    <n v="1"/>
    <n v="1"/>
    <n v="1"/>
    <s v="Bajo"/>
    <x v="0"/>
    <x v="7"/>
    <s v="S01"/>
    <s v="Buzón Web"/>
    <s v="Interno"/>
    <s v="Femenino"/>
  </r>
  <r>
    <x v="11"/>
    <x v="11"/>
    <s v="Queja"/>
    <x v="10"/>
    <s v="T3"/>
    <n v="2022"/>
    <s v="Juana Brito "/>
    <s v="829-989-5442"/>
    <s v="juanabrito1@hotmail.com"/>
    <s v="Autorización de Ordenes de pago "/>
    <n v="2"/>
    <n v="1"/>
    <n v="2"/>
    <s v="Bajo"/>
    <x v="0"/>
    <x v="8"/>
    <s v="Q07"/>
    <s v="Buzón Web"/>
    <s v="Externo "/>
    <s v="Femenino"/>
  </r>
  <r>
    <x v="12"/>
    <x v="12"/>
    <s v="Reclamación "/>
    <x v="11"/>
    <s v="T3"/>
    <n v="2022"/>
    <s v="Luis Rodriguez"/>
    <s v="829-712-1241"/>
    <s v="luisramonantoniorodriguez@gmail.com"/>
    <s v="Certificaciones de Cargos"/>
    <n v="1"/>
    <n v="2"/>
    <n v="2"/>
    <s v="Bajo"/>
    <x v="0"/>
    <x v="0"/>
    <s v="R03"/>
    <s v="Buzón Web"/>
    <s v="Externo "/>
    <s v="Masculino"/>
  </r>
  <r>
    <x v="13"/>
    <x v="13"/>
    <s v="Reclamación "/>
    <x v="12"/>
    <s v="T3"/>
    <n v="2022"/>
    <s v="Denia Miraanda"/>
    <s v="809-350-6264"/>
    <s v="PROVIMEDICASDQ@GMAIL.COM"/>
    <s v="Autorización de Ordenes de pago "/>
    <n v="2"/>
    <n v="1"/>
    <n v="2"/>
    <s v="Bajo"/>
    <x v="0"/>
    <x v="8"/>
    <s v="R04"/>
    <s v="Buzón Web"/>
    <s v="Externo "/>
    <s v="Femenino"/>
  </r>
  <r>
    <x v="14"/>
    <x v="14"/>
    <s v="Reclamación "/>
    <x v="12"/>
    <s v="T3"/>
    <n v="2022"/>
    <s v="Carolyn Bravo Perez"/>
    <s v="829-488-9366"/>
    <s v="licdabravoperez@gmail.com"/>
    <s v="Certificaciones de Cargos"/>
    <n v="1"/>
    <n v="2"/>
    <n v="2"/>
    <s v="Bajo"/>
    <x v="0"/>
    <x v="4"/>
    <s v="R05"/>
    <s v="Buzón Web"/>
    <s v="Externo "/>
    <s v="Femenino"/>
  </r>
  <r>
    <x v="15"/>
    <x v="15"/>
    <s v="Reclamación "/>
    <x v="12"/>
    <s v="T3"/>
    <n v="2022"/>
    <s v="Martina Benavides"/>
    <s v="809-889-6754"/>
    <s v="arelis.garcia@minerd.gob.do"/>
    <s v="Certificaciones de Cargos"/>
    <n v="1"/>
    <n v="2"/>
    <n v="2"/>
    <s v="Bajo"/>
    <x v="0"/>
    <x v="4"/>
    <s v="R06"/>
    <s v="Buzón Web"/>
    <s v="Externo "/>
    <s v="Femenino"/>
  </r>
  <r>
    <x v="16"/>
    <x v="16"/>
    <s v="Queja"/>
    <x v="13"/>
    <s v="T3"/>
    <n v="2022"/>
    <s v="Palmira Diaz Pérez"/>
    <s v="809-707-4650"/>
    <s v="N/A"/>
    <s v="Relaciones Laborales "/>
    <n v="2"/>
    <n v="1"/>
    <n v="2"/>
    <s v="Bajo"/>
    <x v="0"/>
    <x v="5"/>
    <s v="Q08"/>
    <s v="Buzón Físico"/>
    <s v="Interno"/>
    <s v="Femenino"/>
  </r>
  <r>
    <x v="17"/>
    <x v="17"/>
    <s v="Reclamación "/>
    <x v="14"/>
    <s v="T3"/>
    <n v="2022"/>
    <s v="Juan Carlos Padrón"/>
    <s v="809-851-7212"/>
    <s v="juancarlos@padronoffice.com"/>
    <s v="Departamento de Auditoría"/>
    <n v="2"/>
    <n v="2"/>
    <n v="4"/>
    <s v="Medio"/>
    <x v="0"/>
    <x v="9"/>
    <s v="R07"/>
    <s v="Buzón Web"/>
    <s v="Externo "/>
    <s v="Masculino"/>
  </r>
  <r>
    <x v="18"/>
    <x v="18"/>
    <s v="Queja"/>
    <x v="14"/>
    <s v="T3"/>
    <n v="2022"/>
    <s v="Anónimo"/>
    <s v="N/A"/>
    <s v="N/A"/>
    <s v="General"/>
    <n v="2"/>
    <n v="3"/>
    <n v="6"/>
    <s v="Alto"/>
    <x v="0"/>
    <x v="10"/>
    <s v="Q09"/>
    <s v="Buzón Físico"/>
    <s v="Interno"/>
    <s v="N/A"/>
  </r>
  <r>
    <x v="19"/>
    <x v="19"/>
    <s v="Queja"/>
    <x v="15"/>
    <s v="T3"/>
    <n v="2022"/>
    <s v="Alsesa Estevez"/>
    <s v="809-916-1593"/>
    <s v="anaestevezvelasquez@hotmail.com"/>
    <s v="Certificaciones de Cargos"/>
    <n v="1"/>
    <n v="1"/>
    <n v="1"/>
    <s v="Bajo"/>
    <x v="0"/>
    <x v="4"/>
    <s v="Q10"/>
    <s v="Buzón Web"/>
    <s v="Interno "/>
    <s v="Femenino"/>
  </r>
  <r>
    <x v="20"/>
    <x v="20"/>
    <s v="Reclamación "/>
    <x v="16"/>
    <s v="T3"/>
    <n v="2022"/>
    <s v="Esquibel"/>
    <s v="809-752-0623"/>
    <s v="ing.esquibel@hotmail.com"/>
    <s v="Certificaciones de Cargos"/>
    <n v="1"/>
    <n v="1"/>
    <n v="1"/>
    <s v="Bajo"/>
    <x v="0"/>
    <x v="4"/>
    <s v="R08"/>
    <s v="Buzón Web"/>
    <s v="Externo "/>
    <s v="Femenino"/>
  </r>
  <r>
    <x v="21"/>
    <x v="21"/>
    <s v="Reclamación "/>
    <x v="17"/>
    <s v="T3"/>
    <n v="2022"/>
    <s v="Ruben Ramos"/>
    <s v="849-875-9376"/>
    <s v="axramos87@gmail.com"/>
    <s v="Certificaciones de Cargos"/>
    <n v="1"/>
    <n v="1"/>
    <n v="1"/>
    <s v="Bajo"/>
    <x v="0"/>
    <x v="4"/>
    <s v="R09"/>
    <s v="Buzón Web"/>
    <s v="Externo "/>
    <s v="Masculino"/>
  </r>
  <r>
    <x v="22"/>
    <x v="22"/>
    <s v="Reclamación "/>
    <x v="18"/>
    <s v="T3"/>
    <n v="2022"/>
    <s v="Juan Cueto"/>
    <s v="809-815-3866"/>
    <s v="jcueto00011@gmail.com"/>
    <s v="Certificaciones de Cargos"/>
    <n v="1"/>
    <n v="1"/>
    <n v="1"/>
    <s v="Bajo"/>
    <x v="0"/>
    <x v="11"/>
    <s v="R10"/>
    <s v="Buzón Web"/>
    <s v="Externo "/>
    <s v="Masculino"/>
  </r>
  <r>
    <x v="23"/>
    <x v="23"/>
    <s v="Queja"/>
    <x v="19"/>
    <s v="T4"/>
    <n v="2022"/>
    <s v="Diana Arnaud"/>
    <s v="N/A"/>
    <s v="dianaarnaud2717@gmail.com"/>
    <s v="Servicios Personales"/>
    <n v="3"/>
    <n v="1"/>
    <n v="3"/>
    <s v="Medio"/>
    <x v="0"/>
    <x v="12"/>
    <s v="Q11"/>
    <s v="Correo Electrónico"/>
    <s v="Externo "/>
    <s v="Femenino"/>
  </r>
  <r>
    <x v="24"/>
    <x v="24"/>
    <s v="Sugerencia "/>
    <x v="20"/>
    <s v="T4"/>
    <n v="2022"/>
    <s v="Emilio Rubio Peña"/>
    <s v="829-886-7641"/>
    <s v="duclerisrubio@hotmail.com"/>
    <s v="Certificaciones de Cargos"/>
    <n v="1"/>
    <n v="1"/>
    <n v="1"/>
    <s v="Bajo"/>
    <x v="0"/>
    <x v="4"/>
    <s v="S02"/>
    <s v="Buzón Web"/>
    <s v="Externo "/>
    <s v="Masculino"/>
  </r>
  <r>
    <x v="25"/>
    <x v="25"/>
    <s v="Reclamación "/>
    <x v="21"/>
    <s v="T4"/>
    <n v="2022"/>
    <s v="Gumercindo Reyes"/>
    <s v="809-865-6755"/>
    <s v="jior013@hotmail.com"/>
    <s v="Certificaciones de Cargos"/>
    <n v="2"/>
    <n v="1"/>
    <n v="2"/>
    <s v="Bajo"/>
    <x v="0"/>
    <x v="0"/>
    <s v="R11"/>
    <s v="Buzón Web"/>
    <s v="Externo "/>
    <s v="Masculino"/>
  </r>
  <r>
    <x v="26"/>
    <x v="26"/>
    <s v="Reclamación "/>
    <x v="22"/>
    <s v="T4"/>
    <n v="2022"/>
    <s v="Anónimo"/>
    <s v="N/A"/>
    <s v="N/A"/>
    <s v="Certificaciones de Cargos"/>
    <n v="1"/>
    <n v="1"/>
    <n v="1"/>
    <s v="Bajo"/>
    <x v="0"/>
    <x v="0"/>
    <s v="R12"/>
    <s v="Buzón Web"/>
    <s v="Externo "/>
    <s v="Masculino"/>
  </r>
  <r>
    <x v="27"/>
    <x v="27"/>
    <s v="Reclamación "/>
    <x v="23"/>
    <s v="T4"/>
    <n v="2022"/>
    <s v="Virginia del Rosario"/>
    <s v="809-506-1354"/>
    <s v="yisseldelrosario85@gmail.com"/>
    <s v="Certificaciones de Cargos"/>
    <n v="1"/>
    <n v="1"/>
    <n v="1"/>
    <s v="Bajo"/>
    <x v="0"/>
    <x v="0"/>
    <s v="R13"/>
    <s v="Buzón Web"/>
    <s v="Externo "/>
    <s v="Femenino"/>
  </r>
  <r>
    <x v="28"/>
    <x v="28"/>
    <s v="Reclamación "/>
    <x v="24"/>
    <s v="T4"/>
    <n v="2022"/>
    <s v="Maricela Geraldo Ruiz"/>
    <s v="809-536-7284"/>
    <s v="maricela.gerar2@gmail.com"/>
    <s v="Certificaciones de Cargos"/>
    <n v="1"/>
    <n v="1"/>
    <n v="1"/>
    <s v="Bajo"/>
    <x v="0"/>
    <x v="4"/>
    <s v="R14"/>
    <s v="Buzón Web"/>
    <s v="Externo "/>
    <s v="Femenino"/>
  </r>
  <r>
    <x v="29"/>
    <x v="29"/>
    <s v="Reclamación "/>
    <x v="24"/>
    <s v="T4"/>
    <n v="2022"/>
    <s v="Massiel Collado"/>
    <s v="829-606-7531"/>
    <s v="licda.mcollado@hotmail.com"/>
    <s v="Certificaciones de Cargos"/>
    <n v="1"/>
    <n v="1"/>
    <n v="1"/>
    <s v="Bajo"/>
    <x v="0"/>
    <x v="4"/>
    <s v="R15"/>
    <s v="Buzón Web"/>
    <s v="Externo "/>
    <s v="Femenino"/>
  </r>
  <r>
    <x v="30"/>
    <x v="30"/>
    <s v="Reclamación "/>
    <x v="25"/>
    <s v="T4"/>
    <n v="2022"/>
    <s v="Manuel Subervi"/>
    <s v="829-404-0193"/>
    <s v="abigailmanuel217@hotmail,com"/>
    <s v="Certificaciones de Cargos"/>
    <n v="1"/>
    <n v="1"/>
    <n v="1"/>
    <s v="Bajo"/>
    <x v="0"/>
    <x v="13"/>
    <s v="R16"/>
    <s v="Buzón Web"/>
    <s v="Externo "/>
    <s v="Masculino"/>
  </r>
  <r>
    <x v="31"/>
    <x v="31"/>
    <s v="Reclamación "/>
    <x v="26"/>
    <s v="T4"/>
    <n v="2022"/>
    <s v="Rosa Gómez"/>
    <s v="809-456-9617"/>
    <s v="rosita2031@gmail.com"/>
    <s v="Certificaciones de Cargos"/>
    <n v="1"/>
    <n v="1"/>
    <n v="1"/>
    <s v="Bajo"/>
    <x v="0"/>
    <x v="4"/>
    <s v="R17"/>
    <s v="Buzón Web"/>
    <s v="Externo "/>
    <s v="Femenino"/>
  </r>
  <r>
    <x v="32"/>
    <x v="32"/>
    <s v="Reclamación "/>
    <x v="26"/>
    <s v="T4"/>
    <n v="2022"/>
    <s v="Yngrd Lockward"/>
    <s v="829-366-8681"/>
    <s v="yele03@gmail.com"/>
    <s v="Certificaciones de Cargos"/>
    <n v="1"/>
    <n v="1"/>
    <n v="1"/>
    <s v="Bajo"/>
    <x v="0"/>
    <x v="0"/>
    <s v="R18"/>
    <s v="Buzón Web"/>
    <s v="Externo "/>
    <s v="Femenino"/>
  </r>
  <r>
    <x v="33"/>
    <x v="33"/>
    <s v="Queja"/>
    <x v="26"/>
    <s v="T4"/>
    <n v="2022"/>
    <s v="Martha Infante"/>
    <s v="809-303-1468"/>
    <s v="marinfante42@yahoo.com"/>
    <s v="Solicitud de vacaciones"/>
    <n v="2"/>
    <n v="1"/>
    <n v="2"/>
    <s v="Bajo"/>
    <x v="0"/>
    <x v="5"/>
    <s v="Q12"/>
    <s v="Buzón Físico"/>
    <s v="Interno"/>
    <s v="Femenino"/>
  </r>
  <r>
    <x v="34"/>
    <x v="34"/>
    <s v="Reclamación "/>
    <x v="27"/>
    <s v="T4"/>
    <n v="2022"/>
    <s v="Marcela del Orben Rondon"/>
    <s v="829-205-5393"/>
    <s v="marceladelorbe83@gmail.com"/>
    <s v="Certificaciones de Cargos"/>
    <n v="1"/>
    <n v="1"/>
    <n v="1"/>
    <s v="Bajo"/>
    <x v="0"/>
    <x v="4"/>
    <s v="R19"/>
    <s v="Buzón Web"/>
    <s v="Externo "/>
    <s v="Femenino"/>
  </r>
  <r>
    <x v="35"/>
    <x v="35"/>
    <s v="Reclamación "/>
    <x v="27"/>
    <s v="T4"/>
    <n v="2022"/>
    <s v="José García Martinez"/>
    <s v="809-442-8808"/>
    <s v="leonardogm778@gmail.com"/>
    <s v="Certificaciones de Cargos"/>
    <n v="1"/>
    <n v="1"/>
    <n v="1"/>
    <s v="Bajo"/>
    <x v="0"/>
    <x v="4"/>
    <s v="R20"/>
    <s v="Buzón Web"/>
    <s v="Externo"/>
    <s v="Masculino"/>
  </r>
  <r>
    <x v="36"/>
    <x v="36"/>
    <s v="Reclamación "/>
    <x v="28"/>
    <s v="T4"/>
    <n v="2022"/>
    <s v="Corides Cuevas Perez"/>
    <s v="829-771-0181"/>
    <s v="cuevascorides@outlook.com"/>
    <s v="Certificaciones de Cargos"/>
    <n v="1"/>
    <n v="1"/>
    <n v="1"/>
    <s v="Bajo"/>
    <x v="0"/>
    <x v="4"/>
    <s v="R21"/>
    <s v="Buzón Web"/>
    <s v="Externo"/>
    <s v="Masculino"/>
  </r>
  <r>
    <x v="37"/>
    <x v="37"/>
    <s v="Reclamación "/>
    <x v="28"/>
    <s v="T4"/>
    <n v="2022"/>
    <s v="Juan Agripino Cueto"/>
    <s v="809-815-3866"/>
    <s v="jcueto00011@gmail.com"/>
    <s v="Certificaciones de Cargos"/>
    <n v="1"/>
    <n v="1"/>
    <n v="1"/>
    <s v="Bajo"/>
    <x v="0"/>
    <x v="0"/>
    <s v="R22"/>
    <s v="Buzón Web"/>
    <s v="Externo"/>
    <s v="Masculino"/>
  </r>
  <r>
    <x v="38"/>
    <x v="38"/>
    <s v="Reclamación "/>
    <x v="29"/>
    <s v="T4"/>
    <n v="2022"/>
    <s v="Frantercons"/>
    <s v="N/A"/>
    <s v="franterconsingenieria@gmail.com"/>
    <s v="Consulta de Libramiento"/>
    <n v="2"/>
    <n v="1"/>
    <n v="2"/>
    <s v="Bajo"/>
    <x v="0"/>
    <x v="0"/>
    <s v="R23"/>
    <s v="Correo Electrónico"/>
    <s v="Externo"/>
    <s v="N/A"/>
  </r>
  <r>
    <x v="39"/>
    <x v="39"/>
    <s v="Reclamación "/>
    <x v="30"/>
    <s v="T4"/>
    <n v="2022"/>
    <s v="Scarlet Duran "/>
    <s v="849-873-6794"/>
    <s v="SCARLETG2038@gmail.com"/>
    <s v="Certificaciones de Cargos"/>
    <n v="1"/>
    <n v="1"/>
    <n v="1"/>
    <s v="Bajo"/>
    <x v="0"/>
    <x v="4"/>
    <s v="R24"/>
    <s v="Buzón Web"/>
    <s v="Externo"/>
    <s v="Femenino"/>
  </r>
  <r>
    <x v="40"/>
    <x v="40"/>
    <s v="Reclamación "/>
    <x v="31"/>
    <s v="T4"/>
    <n v="2022"/>
    <s v="Giovanna Salvucci"/>
    <s v="809-519-8319"/>
    <s v="giovannasdh@gmail.com"/>
    <s v="Certificaciones de Cargos"/>
    <n v="1"/>
    <n v="1"/>
    <n v="1"/>
    <s v="Bajo"/>
    <x v="0"/>
    <x v="0"/>
    <s v="R25"/>
    <s v="Buzón Web"/>
    <s v="Externo"/>
    <s v="Femenino"/>
  </r>
  <r>
    <x v="41"/>
    <x v="41"/>
    <s v="Reclamación "/>
    <x v="32"/>
    <s v="T4"/>
    <n v="2022"/>
    <s v="Miguel Angel"/>
    <s v="829-730-8288"/>
    <s v="menamike@hotmail.com"/>
    <s v="Certificaciones de Cargos"/>
    <n v="1"/>
    <n v="1"/>
    <n v="1"/>
    <s v="Bajo"/>
    <x v="0"/>
    <x v="4"/>
    <s v="R26"/>
    <s v="Buzón Web"/>
    <s v="Externo"/>
    <s v="Masculino"/>
  </r>
  <r>
    <x v="42"/>
    <x v="42"/>
    <s v="Queja"/>
    <x v="33"/>
    <s v="T4"/>
    <n v="2022"/>
    <s v="Escarlen Ortiz"/>
    <s v="908-472-678"/>
    <s v="ortizescarlen1726@gmail.com"/>
    <s v="Certificaciones de Cargos"/>
    <n v="1"/>
    <n v="1"/>
    <n v="1"/>
    <s v="Bajo"/>
    <x v="0"/>
    <x v="4"/>
    <s v="Q13"/>
    <s v="Buzón Web"/>
    <s v="Externo"/>
    <s v="Femenino"/>
  </r>
  <r>
    <x v="43"/>
    <x v="43"/>
    <s v="Reclamación "/>
    <x v="34"/>
    <s v="T4"/>
    <n v="2022"/>
    <s v="Maria Molina"/>
    <s v="N/A"/>
    <s v="maria.molinab@minerd.gob.do"/>
    <s v="Certificaciones de Cargos"/>
    <n v="1"/>
    <n v="1"/>
    <n v="1"/>
    <s v="Bajo"/>
    <x v="0"/>
    <x v="4"/>
    <s v="R27"/>
    <s v="Correo Electrónico"/>
    <s v="Externo"/>
    <s v="Femenino"/>
  </r>
  <r>
    <x v="44"/>
    <x v="44"/>
    <s v="Queja"/>
    <x v="35"/>
    <s v="T4"/>
    <n v="2022"/>
    <s v="Vianela Burgos"/>
    <s v="809-603-4449"/>
    <s v="N/A"/>
    <s v="Servicio de Transportación"/>
    <n v="1"/>
    <n v="2"/>
    <n v="2"/>
    <s v="Bajo"/>
    <x v="0"/>
    <x v="14"/>
    <s v="Q14"/>
    <s v="Buzón Físico"/>
    <s v="Interno"/>
    <s v="Femenino"/>
  </r>
  <r>
    <x v="45"/>
    <x v="45"/>
    <s v="Queja"/>
    <x v="35"/>
    <s v="T4"/>
    <n v="2022"/>
    <s v="Vianela Burgos"/>
    <s v="809-603-4449"/>
    <s v="N/A"/>
    <s v="Servicios de comida"/>
    <n v="1"/>
    <n v="1"/>
    <n v="1"/>
    <s v="Bajo"/>
    <x v="0"/>
    <x v="15"/>
    <s v="Q15"/>
    <s v="Buzón Físico"/>
    <s v="Interno"/>
    <s v="Femenino"/>
  </r>
  <r>
    <x v="46"/>
    <x v="46"/>
    <s v="Reclamación "/>
    <x v="36"/>
    <s v="T4"/>
    <n v="2022"/>
    <s v="Francis N. Plasencia Medida "/>
    <s v="809-869-1959"/>
    <s v="francis.plasencia@gmail.com "/>
    <s v="Certificaciones de Cargos"/>
    <n v="2"/>
    <n v="1"/>
    <n v="2"/>
    <s v="Bajo"/>
    <x v="0"/>
    <x v="0"/>
    <s v="R28"/>
    <s v="Buzón Web"/>
    <s v="Externo"/>
    <s v="Masculino"/>
  </r>
  <r>
    <x v="47"/>
    <x v="47"/>
    <s v="Reclamación "/>
    <x v="37"/>
    <s v="T1"/>
    <n v="2023"/>
    <s v="José Narciso Bautista Ureña"/>
    <s v="829-962-4279"/>
    <s v="bautistanarci@gmail.com"/>
    <s v="Certificaciones de Cargos "/>
    <n v="1"/>
    <n v="1"/>
    <n v="1"/>
    <s v="Bajo"/>
    <x v="0"/>
    <x v="0"/>
    <s v="R29"/>
    <s v="Buzón Web"/>
    <s v="Externo"/>
    <s v="Masculino"/>
  </r>
  <r>
    <x v="48"/>
    <x v="48"/>
    <s v="Reclamación "/>
    <x v="38"/>
    <s v="T1"/>
    <n v="2023"/>
    <s v="Elias Antonio Reynoso Casado"/>
    <s v="849-633-7302"/>
    <s v="Elianilreynoso84@gmail.com"/>
    <s v="Certificaciones de Cargos "/>
    <n v="1"/>
    <n v="1"/>
    <n v="1"/>
    <s v="Bajo"/>
    <x v="0"/>
    <x v="0"/>
    <s v="R30"/>
    <s v="Buzón Web"/>
    <s v="Externo "/>
    <s v="Masculino"/>
  </r>
  <r>
    <x v="49"/>
    <x v="49"/>
    <s v="Sugerencia "/>
    <x v="39"/>
    <s v="T1"/>
    <n v="2023"/>
    <s v="Julissa Geraldo"/>
    <s v="(829) 725-5455"/>
    <s v="taxationandfinancedepartament@outlook.es"/>
    <s v="Auditoría Interna Gubernamental"/>
    <n v="1"/>
    <n v="1"/>
    <n v="1"/>
    <s v="Bajo"/>
    <x v="0"/>
    <x v="2"/>
    <s v="311-5"/>
    <s v="Línea 311"/>
    <s v="Externo "/>
    <s v="Femenino"/>
  </r>
  <r>
    <x v="50"/>
    <x v="50"/>
    <s v="Reclamación "/>
    <x v="40"/>
    <s v="T1"/>
    <n v="2023"/>
    <s v="Juan Arismendy Castillo Franco "/>
    <s v="829-883-2671"/>
    <s v="escuelaprimarialacienaga@hotmail.com"/>
    <s v="Certificaciones de Cargos "/>
    <n v="2"/>
    <n v="2"/>
    <n v="4"/>
    <s v="Medio"/>
    <x v="0"/>
    <x v="0"/>
    <s v="R31"/>
    <s v="Buzón Web"/>
    <s v="Externo"/>
    <s v="Masculino "/>
  </r>
  <r>
    <x v="51"/>
    <x v="51"/>
    <s v="Reclamación "/>
    <x v="41"/>
    <s v="T1"/>
    <n v="2023"/>
    <s v="Juan Arismendy Castillo Franco "/>
    <s v="829-883-2671"/>
    <s v="escuelaprimarialacienaga@hotmail.com"/>
    <s v="Certificaciones de Cargos "/>
    <n v="1"/>
    <n v="1"/>
    <n v="1"/>
    <s v="Bajo"/>
    <x v="0"/>
    <x v="0"/>
    <s v="R32"/>
    <s v="Buzón Web"/>
    <s v="Externo "/>
    <s v="Masculino "/>
  </r>
  <r>
    <x v="52"/>
    <x v="52"/>
    <s v="Reclamación "/>
    <x v="41"/>
    <s v="T1"/>
    <n v="2023"/>
    <s v="Lourdes Pérez Carrasco"/>
    <s v="829-798-3558"/>
    <s v="sandraperezcarrasco@hotmail.com"/>
    <s v="Certificaciones de Cargos "/>
    <n v="1"/>
    <n v="1"/>
    <n v="1"/>
    <s v="Bajo"/>
    <x v="0"/>
    <x v="0"/>
    <s v="R33"/>
    <s v="Buzón Web"/>
    <s v="Externo "/>
    <s v="Femenino"/>
  </r>
  <r>
    <x v="53"/>
    <x v="53"/>
    <s v="Reclamación "/>
    <x v="42"/>
    <s v="T1"/>
    <n v="2023"/>
    <s v="Jose del Rosario Belen"/>
    <s v="829-585-1908"/>
    <s v="suleidyrosario08@gmail.com"/>
    <s v="Certificaciones de Cargos "/>
    <n v="1"/>
    <n v="1"/>
    <n v="1"/>
    <s v="Bajo"/>
    <x v="0"/>
    <x v="0"/>
    <s v="R34"/>
    <s v="Buzón Web"/>
    <s v="Externo "/>
    <s v="Masculino "/>
  </r>
  <r>
    <x v="54"/>
    <x v="54"/>
    <s v="Reclamación "/>
    <x v="43"/>
    <s v="T1"/>
    <n v="2023"/>
    <s v="Rosa Iris Concepción"/>
    <s v="829-968-6878"/>
    <s v="yuliannyconcepcion@gmail.com"/>
    <s v="Certificaciones de Cargos "/>
    <n v="1"/>
    <n v="2"/>
    <n v="2"/>
    <s v="Bajo"/>
    <x v="0"/>
    <x v="0"/>
    <s v="R35"/>
    <s v="Buzón Web"/>
    <s v="Externo "/>
    <s v="Femenino"/>
  </r>
  <r>
    <x v="55"/>
    <x v="55"/>
    <s v="Reclamación "/>
    <x v="44"/>
    <s v="T1"/>
    <n v="2023"/>
    <s v="Maria Idalia Guerrero Padua"/>
    <s v="829-349-2014"/>
    <s v="mariaidaliaguerrero@gmail.com"/>
    <s v="Certificaciones de Cargos "/>
    <n v="1"/>
    <n v="1"/>
    <n v="1"/>
    <s v="Bajo"/>
    <x v="0"/>
    <x v="0"/>
    <s v="R36"/>
    <s v="Buzón Web"/>
    <s v="Externo "/>
    <s v="Femenino"/>
  </r>
  <r>
    <x v="56"/>
    <x v="56"/>
    <s v="Queja"/>
    <x v="45"/>
    <s v="T1"/>
    <n v="2023"/>
    <s v="Yuberki Suriel"/>
    <s v="N/A"/>
    <s v="N/A"/>
    <s v="Certificaciones de Cargos "/>
    <n v="1"/>
    <n v="1"/>
    <n v="1"/>
    <s v="Bajo"/>
    <x v="0"/>
    <x v="0"/>
    <s v="Q16"/>
    <s v="Buzón Web"/>
    <s v="Externo "/>
    <s v="N/A"/>
  </r>
  <r>
    <x v="57"/>
    <x v="57"/>
    <s v="Reclamación "/>
    <x v="45"/>
    <s v="T1"/>
    <n v="2023"/>
    <s v="Rafael Adriano Sanchez Espinal"/>
    <s v="809-226-0003"/>
    <s v="infooliverroosevelt@gmail.com"/>
    <s v="Certificaciones de Cargos "/>
    <n v="1"/>
    <n v="1"/>
    <n v="1"/>
    <s v="Bajo"/>
    <x v="0"/>
    <x v="0"/>
    <s v="R37"/>
    <s v="Buzón Web"/>
    <s v="Externo "/>
    <s v="Masculino "/>
  </r>
  <r>
    <x v="58"/>
    <x v="58"/>
    <s v="Reclamación "/>
    <x v="45"/>
    <s v="T1"/>
    <n v="2023"/>
    <s v="María Elisa Vergez"/>
    <s v="809-697-5460"/>
    <s v="elisamariott@gmail.com"/>
    <s v="Certificaciones de Cargos "/>
    <n v="1"/>
    <n v="2"/>
    <n v="2"/>
    <s v="Bajo"/>
    <x v="0"/>
    <x v="0"/>
    <s v="R38"/>
    <s v="Buzón Web"/>
    <s v="Externo "/>
    <s v="Femenino"/>
  </r>
  <r>
    <x v="59"/>
    <x v="59"/>
    <s v="Reclamación "/>
    <x v="46"/>
    <s v="T1"/>
    <n v="2023"/>
    <s v="Rafael Adriano Sanchez Espinal"/>
    <s v="809-226-0003"/>
    <s v="infooliverroosevelt@gmail.com"/>
    <s v="Certificaciones de Cargos "/>
    <n v="1"/>
    <n v="1"/>
    <n v="1"/>
    <s v="Bajo"/>
    <x v="0"/>
    <x v="0"/>
    <s v="R39"/>
    <s v="Buzón Web"/>
    <s v="Externo "/>
    <s v="Masculino "/>
  </r>
  <r>
    <x v="60"/>
    <x v="60"/>
    <s v="Reclamación "/>
    <x v="47"/>
    <s v="T1"/>
    <n v="2023"/>
    <s v="Yasmily Moran"/>
    <s v="829-447-7979"/>
    <s v="yasmilicm@hotmail.com"/>
    <s v="Certificaciones de Cargos "/>
    <n v="1"/>
    <n v="2"/>
    <n v="2"/>
    <s v="Bajo"/>
    <x v="0"/>
    <x v="0"/>
    <s v="R40"/>
    <s v="Buzón Web"/>
    <s v="Externo "/>
    <s v="Femenino"/>
  </r>
  <r>
    <x v="61"/>
    <x v="61"/>
    <s v="Reclamación "/>
    <x v="48"/>
    <s v="T1"/>
    <n v="2023"/>
    <s v="Rosmery Méndez"/>
    <s v="829-860-2062"/>
    <s v="mendezrosmery12@gmail.com"/>
    <s v="Certificaciones de Cargos "/>
    <n v="1"/>
    <n v="2"/>
    <n v="2"/>
    <s v="Bajo"/>
    <x v="0"/>
    <x v="0"/>
    <s v="R41"/>
    <s v="Buzón Web"/>
    <s v="Externo "/>
    <s v="Femenino"/>
  </r>
  <r>
    <x v="62"/>
    <x v="62"/>
    <s v="Sugerencia "/>
    <x v="48"/>
    <s v="T1"/>
    <n v="2023"/>
    <s v="Cesar Jesurum"/>
    <s v="829-943-1002"/>
    <s v="sjesurum@hotmail.com"/>
    <s v="Certificaciones de Cargos "/>
    <n v="1"/>
    <n v="1"/>
    <n v="1"/>
    <s v="Bajo"/>
    <x v="0"/>
    <x v="0"/>
    <s v="S03"/>
    <s v="Buzón Web"/>
    <s v="Externo "/>
    <s v="Masculino "/>
  </r>
  <r>
    <x v="63"/>
    <x v="63"/>
    <s v="Reclamación "/>
    <x v="49"/>
    <s v="T1"/>
    <n v="2023"/>
    <s v="Olga Vianela Rodriguez"/>
    <s v="809-516-6309"/>
    <s v="nurysjabreu@hotmail.com"/>
    <s v="Certificaciones de Cargos "/>
    <n v="1"/>
    <n v="1"/>
    <n v="1"/>
    <s v="Bajo"/>
    <x v="0"/>
    <x v="0"/>
    <s v="R42"/>
    <s v="Buzón Web"/>
    <s v="Externo "/>
    <s v="Femenino"/>
  </r>
  <r>
    <x v="64"/>
    <x v="64"/>
    <s v="Reclamación "/>
    <x v="50"/>
    <s v="T1"/>
    <n v="2023"/>
    <s v="Olga Vianela Rodriguez"/>
    <s v="809-516-6310"/>
    <s v="nurysjabreu@hotmail.com"/>
    <s v="Certificaciones de Cargos "/>
    <n v="1"/>
    <n v="1"/>
    <n v="1"/>
    <s v="Bajo"/>
    <x v="0"/>
    <x v="0"/>
    <s v="R43"/>
    <s v="Buzón Web"/>
    <s v="Externo "/>
    <s v="Femenino"/>
  </r>
  <r>
    <x v="65"/>
    <x v="65"/>
    <s v="Reclamación "/>
    <x v="51"/>
    <s v="T1"/>
    <n v="2023"/>
    <s v="Griseida Encarnación"/>
    <s v="849-861-2645"/>
    <s v="griseidaencarnacionfeliz@gmail.com"/>
    <s v="Certificaciones de Cargos "/>
    <n v="1"/>
    <n v="1"/>
    <n v="1"/>
    <s v="Bajo"/>
    <x v="0"/>
    <x v="0"/>
    <s v="R44"/>
    <s v="Buzón Web"/>
    <s v="Externo "/>
    <s v="Femenino"/>
  </r>
  <r>
    <x v="66"/>
    <x v="66"/>
    <s v="Sugerencia "/>
    <x v="51"/>
    <s v="T1"/>
    <n v="2023"/>
    <s v="Rafael Reyes Torres"/>
    <s v="809-876-1514"/>
    <s v="rafirey59@hotmail.com"/>
    <s v="Certificaciones de Cargos "/>
    <n v="1"/>
    <n v="1"/>
    <n v="1"/>
    <s v="Bajo"/>
    <x v="0"/>
    <x v="0"/>
    <s v="S04"/>
    <s v="Buzón Web"/>
    <s v="Externo "/>
    <s v="Masculino"/>
  </r>
  <r>
    <x v="67"/>
    <x v="67"/>
    <s v="Queja"/>
    <x v="52"/>
    <s v="T1"/>
    <n v="2023"/>
    <s v="Anónimo"/>
    <s v="N/A"/>
    <s v="N/A"/>
    <s v="Servicio de Transportación"/>
    <n v="3"/>
    <n v="3"/>
    <n v="9"/>
    <s v="Alto"/>
    <x v="0"/>
    <x v="14"/>
    <s v="Q17"/>
    <s v="Buzón Físico"/>
    <s v="Interno"/>
    <s v="N/A"/>
  </r>
  <r>
    <x v="68"/>
    <x v="68"/>
    <s v="Reclamación "/>
    <x v="53"/>
    <s v="T2"/>
    <n v="2023"/>
    <s v="Pedro Ruben De La Cruz Tejada"/>
    <s v="809-493-7212"/>
    <s v="loliya7@hotmail.com"/>
    <s v="Certificaciones de Cargos "/>
    <n v="1"/>
    <n v="2"/>
    <n v="2"/>
    <s v="Bajo"/>
    <x v="0"/>
    <x v="0"/>
    <s v="R45"/>
    <s v="Buzón Web"/>
    <s v="Externo "/>
    <s v="Masculino"/>
  </r>
  <r>
    <x v="69"/>
    <x v="69"/>
    <s v="Reclamación "/>
    <x v="54"/>
    <s v="T2"/>
    <n v="2023"/>
    <s v="Elvira Aquino Mercedes"/>
    <s v="809-815-7051"/>
    <s v="eaquino@idiaf.gov.do"/>
    <s v="Certificaciones de Cargos "/>
    <n v="1"/>
    <n v="2"/>
    <n v="2"/>
    <s v="Bajo"/>
    <x v="0"/>
    <x v="0"/>
    <s v="R46"/>
    <s v="Buzón Web"/>
    <s v="Externo "/>
    <s v="Femenino"/>
  </r>
  <r>
    <x v="70"/>
    <x v="70"/>
    <s v="Sugerencia "/>
    <x v="55"/>
    <s v="T2"/>
    <n v="2023"/>
    <s v="Julissa Geraldo"/>
    <s v="(849) 289-1629"/>
    <s v="jullietts32@gmail.com"/>
    <s v="N/A"/>
    <n v="1"/>
    <n v="1"/>
    <n v="1"/>
    <s v="Bajo"/>
    <x v="0"/>
    <x v="2"/>
    <s v="311-6"/>
    <s v="Línea 311"/>
    <s v="Externo "/>
    <s v="Femenino"/>
  </r>
  <r>
    <x v="71"/>
    <x v="71"/>
    <s v="Sugerencia "/>
    <x v="56"/>
    <s v="T2"/>
    <n v="2023"/>
    <s v="Julissa Geraldo"/>
    <s v="(829) 725-5455"/>
    <s v="jullietts32@gmail.com"/>
    <s v="N/A"/>
    <n v="1"/>
    <n v="1"/>
    <n v="1"/>
    <s v="Bajo"/>
    <x v="0"/>
    <x v="2"/>
    <s v="311-7"/>
    <s v="Línea 311"/>
    <s v="Externo "/>
    <s v="Femenino"/>
  </r>
  <r>
    <x v="72"/>
    <x v="72"/>
    <s v="Queja"/>
    <x v="57"/>
    <s v="T2"/>
    <n v="2023"/>
    <s v="Anónimo"/>
    <s v="N/A"/>
    <s v="N/A"/>
    <s v="Servicio de Mayordomía"/>
    <n v="3"/>
    <n v="3"/>
    <n v="9"/>
    <s v="Alto"/>
    <x v="0"/>
    <x v="16"/>
    <s v="Q18"/>
    <s v="Buzón Físico"/>
    <s v="Interno"/>
    <s v="N/A"/>
  </r>
  <r>
    <x v="73"/>
    <x v="73"/>
    <s v="Reclamación "/>
    <x v="58"/>
    <s v="T2"/>
    <n v="2023"/>
    <s v="Olga Vianela Rodriguez"/>
    <s v="809-516-6309"/>
    <s v="nurysjabreu@hotmail.com"/>
    <s v="Certificaciones de Cargos "/>
    <n v="1"/>
    <n v="1"/>
    <n v="1"/>
    <s v="Bajo"/>
    <x v="0"/>
    <x v="0"/>
    <s v="R47"/>
    <s v="Buzón Web"/>
    <s v="Externo "/>
    <s v="Femenino"/>
  </r>
  <r>
    <x v="74"/>
    <x v="74"/>
    <s v="Reclamación "/>
    <x v="59"/>
    <s v="T2"/>
    <n v="2023"/>
    <s v="Mary Concepción Abreu Pérez De Cedeño"/>
    <s v="809-707-4210"/>
    <s v="dra.abreu08@gmail.com"/>
    <s v="Certificaciones de Cargos "/>
    <n v="1"/>
    <n v="2"/>
    <n v="2"/>
    <s v="Bajo"/>
    <x v="0"/>
    <x v="0"/>
    <s v="R48"/>
    <s v="Buzón Web"/>
    <s v="Externo "/>
    <s v="Femenino"/>
  </r>
  <r>
    <x v="75"/>
    <x v="75"/>
    <s v="Reclamación "/>
    <x v="59"/>
    <s v="T2"/>
    <n v="2023"/>
    <s v="Mary Concepción Abreu Pérez De Cedeño"/>
    <s v="809-707-4210"/>
    <s v="dra.abreu08@gmail.com"/>
    <s v="Certificaciones de Cargos "/>
    <n v="1"/>
    <n v="2"/>
    <n v="2"/>
    <s v="Bajo"/>
    <x v="0"/>
    <x v="0"/>
    <s v="R49"/>
    <s v="Buzón Web"/>
    <s v="Externo "/>
    <s v="Femenino"/>
  </r>
  <r>
    <x v="76"/>
    <x v="76"/>
    <s v="Queja"/>
    <x v="60"/>
    <s v="T2"/>
    <n v="2023"/>
    <s v="Anónimo"/>
    <s v="N/A"/>
    <s v="N/A"/>
    <s v="Relaciones Laborales"/>
    <n v="3"/>
    <n v="3"/>
    <n v="9"/>
    <s v="Alto"/>
    <x v="0"/>
    <x v="5"/>
    <s v="Q19"/>
    <s v="Buzón Físico"/>
    <s v="Interno"/>
    <s v="N/A"/>
  </r>
  <r>
    <x v="77"/>
    <x v="77"/>
    <s v="Reclamación "/>
    <x v="60"/>
    <s v="T2"/>
    <n v="2023"/>
    <s v="Roderson Marte"/>
    <s v="809-580-0038"/>
    <s v="rmarte@intabaco.gob.do"/>
    <s v="Sistema TRE"/>
    <n v="2"/>
    <n v="2"/>
    <n v="4"/>
    <s v="Medio"/>
    <x v="0"/>
    <x v="17"/>
    <s v="R50"/>
    <s v="Correo Electrónico"/>
    <s v="Externo "/>
    <s v="Masculino"/>
  </r>
  <r>
    <x v="78"/>
    <x v="78"/>
    <s v="Reclamación "/>
    <x v="61"/>
    <s v="T2"/>
    <n v="2023"/>
    <s v="Olga Vianela Rodriguez"/>
    <s v="809-516-6309"/>
    <s v="nurysjabreu@hotmail.com"/>
    <s v="Certificaciones de Cargos "/>
    <n v="1"/>
    <n v="1"/>
    <n v="1"/>
    <s v="Bajo"/>
    <x v="0"/>
    <x v="0"/>
    <s v="R51"/>
    <s v="Buzón Web"/>
    <s v="Externo "/>
    <s v="Femenino"/>
  </r>
  <r>
    <x v="79"/>
    <x v="79"/>
    <s v="Reclamación "/>
    <x v="62"/>
    <s v="T3"/>
    <n v="2023"/>
    <s v="Milagros Del Carmen Gutiérrez Cabral"/>
    <s v="829-423-8288"/>
    <s v="ingridydelarosamalena@gmail.com"/>
    <s v="Certificaciones de Cargos "/>
    <n v="1"/>
    <n v="1"/>
    <n v="1"/>
    <s v="Bajo"/>
    <x v="0"/>
    <x v="18"/>
    <s v="R52"/>
    <s v="Buzón Web"/>
    <s v="Externo"/>
    <s v="Femenino"/>
  </r>
  <r>
    <x v="80"/>
    <x v="80"/>
    <s v="Queja"/>
    <x v="62"/>
    <s v="T3"/>
    <n v="2023"/>
    <s v="Anónimo"/>
    <s v="N/A"/>
    <s v="N/A"/>
    <s v="Mayordomía"/>
    <n v="3"/>
    <n v="3"/>
    <n v="9"/>
    <s v="Alto"/>
    <x v="0"/>
    <x v="7"/>
    <s v="Q20"/>
    <s v="Buzón Físico"/>
    <s v="Interno"/>
    <s v="N/A"/>
  </r>
  <r>
    <x v="81"/>
    <x v="81"/>
    <s v="Reclamación "/>
    <x v="63"/>
    <s v="T3"/>
    <n v="2023"/>
    <s v="Marixa Ramona De Vargas"/>
    <s v="809-678-0060"/>
    <s v="franalvcas062@gmail.com"/>
    <s v="Certificaciones de Cargos "/>
    <n v="1"/>
    <n v="1"/>
    <n v="1"/>
    <s v="Bajo"/>
    <x v="0"/>
    <x v="18"/>
    <s v="R53"/>
    <s v="Buzón Web"/>
    <s v="Externo"/>
    <s v="Femenino"/>
  </r>
  <r>
    <x v="82"/>
    <x v="82"/>
    <s v="Reclamación "/>
    <x v="64"/>
    <s v="T3"/>
    <n v="2023"/>
    <s v="Maria Estela García"/>
    <s v="809-815-3793"/>
    <s v="mariestela77alcala@gmail.com"/>
    <s v="Certificaciones de Cargos "/>
    <n v="1"/>
    <n v="1"/>
    <n v="1"/>
    <s v="Bajo"/>
    <x v="0"/>
    <x v="18"/>
    <s v="R54"/>
    <s v="Buzón Web"/>
    <s v="Externo"/>
    <s v="Femenino"/>
  </r>
  <r>
    <x v="83"/>
    <x v="83"/>
    <s v="Reclamación "/>
    <x v="65"/>
    <s v="T3"/>
    <n v="2023"/>
    <s v="Andrés Feliz Adames "/>
    <s v="N/A"/>
    <s v="kmel3929f@gmail.com"/>
    <s v="Certificaciones de Cargos "/>
    <n v="1"/>
    <n v="1"/>
    <n v="1"/>
    <s v="Bajo"/>
    <x v="0"/>
    <x v="18"/>
    <s v="R55"/>
    <s v="Correo Electrónico"/>
    <s v="Externo"/>
    <s v="Masculino"/>
  </r>
  <r>
    <x v="84"/>
    <x v="84"/>
    <s v="Reclamación "/>
    <x v="65"/>
    <s v="T3"/>
    <n v="2023"/>
    <s v="Gracia Lourdes Guerrero Feliz"/>
    <s v="809-958-3491"/>
    <s v="gracialourdesguerrerofeliz@gmail.com"/>
    <s v="Certificaciones de Cargos "/>
    <n v="1"/>
    <n v="1"/>
    <n v="1"/>
    <s v="Bajo"/>
    <x v="0"/>
    <x v="18"/>
    <s v="R56"/>
    <s v="Buzón Web"/>
    <s v="Externo"/>
    <s v="Femenido"/>
  </r>
  <r>
    <x v="85"/>
    <x v="85"/>
    <s v="Reclamación "/>
    <x v="66"/>
    <s v="T3"/>
    <n v="2023"/>
    <s v="Marlen Mendez Salcedo"/>
    <s v="N/A"/>
    <s v="marlenmendezsalcedo@gmail.com"/>
    <s v="Certificaciones de Cargos "/>
    <n v="1"/>
    <n v="1"/>
    <n v="1"/>
    <s v="Bajo"/>
    <x v="0"/>
    <x v="18"/>
    <s v="R57"/>
    <s v="Correo Electrónico"/>
    <s v="Externo"/>
    <s v="Femenino"/>
  </r>
  <r>
    <x v="86"/>
    <x v="86"/>
    <s v="Reclamación "/>
    <x v="67"/>
    <s v="T3"/>
    <n v="2023"/>
    <s v="Estrella Disla"/>
    <s v="829-333-1940"/>
    <s v="iestrelladisla@gmail.com"/>
    <s v="Certificaciones de Cargos "/>
    <n v="1"/>
    <n v="1"/>
    <n v="1"/>
    <s v="Bajo"/>
    <x v="0"/>
    <x v="18"/>
    <s v="R58"/>
    <s v="Buzón Web"/>
    <s v="Externo"/>
    <s v="Femenino"/>
  </r>
  <r>
    <x v="87"/>
    <x v="87"/>
    <s v="Reclamación "/>
    <x v="68"/>
    <s v="T3"/>
    <n v="2023"/>
    <s v="Ana Elia Luciano de leon de ortiz"/>
    <s v="809-816-4857"/>
    <s v="lucianodeleon67@gmail.com"/>
    <s v="Certificaciones de Cargos "/>
    <n v="1"/>
    <n v="1"/>
    <n v="1"/>
    <s v="Bajo"/>
    <x v="0"/>
    <x v="18"/>
    <s v="R59"/>
    <s v="Buzón Web"/>
    <s v="Externo"/>
    <s v="Femenino"/>
  </r>
  <r>
    <x v="88"/>
    <x v="88"/>
    <s v="Reclamación "/>
    <x v="68"/>
    <s v="T3"/>
    <n v="2023"/>
    <s v="Ana Elia Luciano de leon de ortiz"/>
    <s v="809-816-4858"/>
    <s v="lucianodeleon67@gmail.com"/>
    <s v="Certificaciones de Cargos "/>
    <n v="1"/>
    <n v="1"/>
    <n v="1"/>
    <s v="Bajo"/>
    <x v="0"/>
    <x v="18"/>
    <s v="R60"/>
    <s v="Buzón Web"/>
    <s v="Externo"/>
    <s v="Femenino"/>
  </r>
  <r>
    <x v="89"/>
    <x v="89"/>
    <s v="Reclamación "/>
    <x v="69"/>
    <s v="T3"/>
    <n v="2023"/>
    <s v="Rommel Santos Diaz"/>
    <s v="849-214-9259"/>
    <s v="rommelsantos09@yahoo.com"/>
    <s v="Certificaciones de Cargos "/>
    <n v="1"/>
    <n v="1"/>
    <n v="1"/>
    <s v="Bajo"/>
    <x v="0"/>
    <x v="18"/>
    <s v="R61"/>
    <s v="Buzón Web"/>
    <s v="Externo"/>
    <s v="Masculino"/>
  </r>
  <r>
    <x v="90"/>
    <x v="90"/>
    <s v="Reclamación "/>
    <x v="69"/>
    <s v="T3"/>
    <n v="2023"/>
    <s v="Fermin Hernández"/>
    <s v="N/A"/>
    <s v="ferminhernandez1277@gmail.com"/>
    <s v="Certificaciones de Cargos "/>
    <n v="1"/>
    <n v="1"/>
    <n v="1"/>
    <s v="Bajo"/>
    <x v="0"/>
    <x v="18"/>
    <s v="R62"/>
    <s v="Correo Electrónico"/>
    <s v="Externo"/>
    <s v="Masculino"/>
  </r>
  <r>
    <x v="91"/>
    <x v="91"/>
    <s v="Reclamación "/>
    <x v="70"/>
    <s v="T3"/>
    <n v="2023"/>
    <s v="Ardelis Hernández"/>
    <s v="849-658-6856"/>
    <s v="ardelish@gmail.com"/>
    <s v="Certificaciones de Cargos "/>
    <n v="1"/>
    <n v="1"/>
    <n v="1"/>
    <s v="Bajo"/>
    <x v="0"/>
    <x v="18"/>
    <s v="R63"/>
    <s v="Buzón Web"/>
    <s v="Externo"/>
    <s v="Masculino"/>
  </r>
  <r>
    <x v="92"/>
    <x v="92"/>
    <s v="Queja"/>
    <x v="71"/>
    <s v="T3"/>
    <n v="2023"/>
    <s v="Anónimo"/>
    <s v="N/A"/>
    <s v="NA"/>
    <s v="Baños sin agua"/>
    <n v="3"/>
    <n v="2"/>
    <n v="6"/>
    <s v="Alto"/>
    <x v="0"/>
    <x v="7"/>
    <s v="Q21"/>
    <s v="Buzón Físico"/>
    <s v="Interno"/>
    <s v="N/A"/>
  </r>
  <r>
    <x v="93"/>
    <x v="93"/>
    <s v="Reclamación "/>
    <x v="72"/>
    <s v="T3"/>
    <n v="2023"/>
    <s v="Milady Concepción Camilo"/>
    <s v="809-697-8326"/>
    <s v="subdireccionpecuarialavega@hotmail.com"/>
    <s v="Certificaciones de Cargos "/>
    <n v="1"/>
    <n v="1"/>
    <n v="1"/>
    <s v="Bajo"/>
    <x v="0"/>
    <x v="18"/>
    <s v="R64"/>
    <s v="Buzón Web"/>
    <s v="Externo"/>
    <s v="Femenino"/>
  </r>
  <r>
    <x v="94"/>
    <x v="94"/>
    <s v="Reclamación "/>
    <x v="73"/>
    <s v="T3"/>
    <n v="2023"/>
    <s v="Milady Concepción Camilo"/>
    <s v="809-697-8327"/>
    <s v="nmartinez@ganaderia.gob.do"/>
    <s v="Certificaciones de Cargos "/>
    <n v="1"/>
    <n v="1"/>
    <n v="1"/>
    <s v="Bajo"/>
    <x v="0"/>
    <x v="18"/>
    <s v="R65"/>
    <s v="Correo Electrónico"/>
    <s v="Externo"/>
    <s v="Femenino"/>
  </r>
  <r>
    <x v="95"/>
    <x v="95"/>
    <s v="Queja"/>
    <x v="74"/>
    <s v="T3"/>
    <n v="2023"/>
    <s v="Anónimo"/>
    <s v="NA"/>
    <s v="NA"/>
    <s v="Servicio de Transportación"/>
    <n v="3"/>
    <n v="3"/>
    <n v="9"/>
    <s v="Alto"/>
    <x v="1"/>
    <x v="7"/>
    <s v="Q22"/>
    <s v="Buzón Web"/>
    <s v="Interno"/>
    <s v="N/A"/>
  </r>
  <r>
    <x v="96"/>
    <x v="96"/>
    <s v="Reclamación "/>
    <x v="75"/>
    <s v="T3"/>
    <n v="2023"/>
    <s v="José Rodolfo Rodriguez Mejia"/>
    <s v="829-491-1000"/>
    <s v="amrslalo@yahoo.com"/>
    <s v="Certificaciones de Cargos "/>
    <n v="1"/>
    <n v="1"/>
    <n v="1"/>
    <s v="Bajo"/>
    <x v="0"/>
    <x v="18"/>
    <s v="R66"/>
    <s v="Buzón Web"/>
    <s v="Externo"/>
    <s v="Masculino"/>
  </r>
  <r>
    <x v="97"/>
    <x v="97"/>
    <s v="Reclamación "/>
    <x v="76"/>
    <s v="T3"/>
    <n v="2023"/>
    <s v="Melania Perdomo"/>
    <s v="829-371-5136"/>
    <s v="melaniaperdomo1961@gmail.com"/>
    <s v="Certificaciones de Cargos "/>
    <n v="1"/>
    <n v="1"/>
    <n v="1"/>
    <s v="Bajo"/>
    <x v="0"/>
    <x v="18"/>
    <s v="R67"/>
    <s v="Buzón Web"/>
    <s v="Externo"/>
    <s v="Femenino"/>
  </r>
  <r>
    <x v="98"/>
    <x v="98"/>
    <s v="Reclamación "/>
    <x v="77"/>
    <s v="T3"/>
    <n v="2023"/>
    <s v="Laura Bautista"/>
    <s v="829-795-0596"/>
    <s v="lauramariaupiabautista@gmail.com"/>
    <s v="Certificaciones de Cargos "/>
    <n v="1"/>
    <n v="1"/>
    <n v="1"/>
    <s v="Bajo"/>
    <x v="0"/>
    <x v="18"/>
    <s v="R68"/>
    <s v="Buzón Web"/>
    <s v="Externo"/>
    <s v="Femenino"/>
  </r>
  <r>
    <x v="99"/>
    <x v="99"/>
    <s v="Reclamación "/>
    <x v="77"/>
    <s v="T3"/>
    <n v="2023"/>
    <s v="Alcibiades Adalberto Mena Campos"/>
    <s v="809-878-5349"/>
    <s v="alcibiadesmena@gmail.com"/>
    <s v="Certificaciones de Cargos "/>
    <n v="1"/>
    <n v="1"/>
    <n v="1"/>
    <s v="Bajo"/>
    <x v="0"/>
    <x v="18"/>
    <s v="S05"/>
    <s v="Buzón Web"/>
    <s v="Externo"/>
    <s v="Masculino"/>
  </r>
  <r>
    <x v="100"/>
    <x v="100"/>
    <s v="Reclamación "/>
    <x v="78"/>
    <s v="T3"/>
    <n v="2023"/>
    <s v="Pablo Khouri"/>
    <s v="809-430-3568"/>
    <s v="prkhouri@sistec.com.do"/>
    <s v="Autorización de Órdenes de Pago"/>
    <n v="1"/>
    <n v="1"/>
    <n v="1"/>
    <s v="Bajo"/>
    <x v="0"/>
    <x v="18"/>
    <s v="R69"/>
    <s v="Buzón Web"/>
    <s v="Externo"/>
    <s v="Masculi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CEAC93-AD2E-4CE3-A0C8-FF29ECF6A67E}" name="TablaDinámica3" cacheId="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
  <location ref="A4:F10" firstHeaderRow="1" firstDataRow="1" firstDataCol="5"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1">
        <item s="1" x="0"/>
      </items>
    </pivotField>
    <pivotField allDrilled="1" subtotalTop="0" showAll="0" dataSourceSort="1" defaultSubtotal="0" defaultAttributeDrillState="1"/>
  </pivotFields>
  <rowFields count="5">
    <field x="2"/>
    <field x="3"/>
    <field x="5"/>
    <field x="6"/>
    <field x="7"/>
  </rowFields>
  <rowItems count="6">
    <i>
      <x/>
      <x/>
      <x/>
      <x/>
      <x/>
    </i>
    <i r="2">
      <x v="1"/>
      <x/>
      <x/>
    </i>
    <i r="3">
      <x v="1"/>
      <x/>
    </i>
    <i r="2">
      <x v="2"/>
      <x/>
      <x/>
    </i>
    <i r="3">
      <x v="1"/>
      <x/>
    </i>
    <i t="grand">
      <x/>
    </i>
  </rowItems>
  <colItems count="1">
    <i/>
  </colItems>
  <pageFields count="2">
    <pageField fld="0" hier="4" name="[Tabla1].[Trimestre].&amp;[T3]" cap="T3"/>
    <pageField fld="1" hier="5" name="[Tabla1].[Año].&amp;[2023]" cap="2023"/>
  </pageFields>
  <dataFields count="1">
    <dataField name="Recuento de Tipo de Registro" fld="4" subtotal="count" baseField="0" baseItem="0"/>
  </dataFields>
  <pivotHierarchies count="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5">
    <rowHierarchyUsage hierarchyUsage="9"/>
    <rowHierarchyUsage hierarchyUsage="2"/>
    <rowHierarchyUsage hierarchyUsage="19"/>
    <rowHierarchyUsage hierarchyUsage="17"/>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ormato Matriz R Q Y S v1.xlsb.xlsx!Tabla1">
        <x15:activeTabTopLevelEntity name="[Tabla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08FDE3-0407-47F8-81D2-268EAD9526D2}"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ntidad de Días">
  <location ref="A25:E27" firstHeaderRow="1" firstDataRow="2" firstDataCol="1" rowPageCount="1" colPageCount="1"/>
  <pivotFields count="15">
    <pivotField showAll="0"/>
    <pivotField showAll="0"/>
    <pivotField axis="axisCol" dataField="1" showAll="0">
      <items count="6">
        <item m="1" x="4"/>
        <item x="0"/>
        <item x="1"/>
        <item x="2"/>
        <item x="3"/>
        <item t="default"/>
      </items>
    </pivotField>
    <pivotField multipleItemSelectionAllowed="1"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s>
  <rowItems count="1">
    <i/>
  </rowItems>
  <colFields count="1">
    <field x="2"/>
  </colFields>
  <colItems count="4">
    <i>
      <x v="1"/>
    </i>
    <i>
      <x v="2"/>
    </i>
    <i>
      <x v="3"/>
    </i>
    <i t="grand">
      <x/>
    </i>
  </colItems>
  <pageFields count="1">
    <pageField fld="5" item="1" hier="-1"/>
  </pageFields>
  <dataFields count="1">
    <dataField name="Cuenta de  Tipo de Registro  " fld="2" subtotal="count" baseField="0" baseItem="0"/>
  </dataFields>
  <formats count="26">
    <format dxfId="172">
      <pivotArea type="origin" dataOnly="0" labelOnly="1" outline="0" fieldPosition="0"/>
    </format>
    <format dxfId="171">
      <pivotArea field="2" type="button" dataOnly="0" labelOnly="1" outline="0" axis="axisCol" fieldPosition="0"/>
    </format>
    <format dxfId="170">
      <pivotArea type="topRight" dataOnly="0" labelOnly="1" outline="0" fieldPosition="0"/>
    </format>
    <format dxfId="169">
      <pivotArea dataOnly="0" labelOnly="1" fieldPosition="0">
        <references count="1">
          <reference field="2" count="3">
            <x v="1"/>
            <x v="2"/>
            <x v="3"/>
          </reference>
        </references>
      </pivotArea>
    </format>
    <format dxfId="168">
      <pivotArea dataOnly="0" labelOnly="1" grandCol="1" outline="0" fieldPosition="0"/>
    </format>
    <format dxfId="167">
      <pivotArea type="origin" dataOnly="0" labelOnly="1" outline="0" fieldPosition="0"/>
    </format>
    <format dxfId="166">
      <pivotArea field="2" type="button" dataOnly="0" labelOnly="1" outline="0" axis="axisCol" fieldPosition="0"/>
    </format>
    <format dxfId="165">
      <pivotArea type="topRight" dataOnly="0" labelOnly="1" outline="0" fieldPosition="0"/>
    </format>
    <format dxfId="164">
      <pivotArea dataOnly="0" labelOnly="1" fieldPosition="0">
        <references count="1">
          <reference field="2" count="3">
            <x v="1"/>
            <x v="2"/>
            <x v="3"/>
          </reference>
        </references>
      </pivotArea>
    </format>
    <format dxfId="163">
      <pivotArea dataOnly="0" labelOnly="1" grandCol="1" outline="0" fieldPosition="0"/>
    </format>
    <format dxfId="162">
      <pivotArea type="origin" dataOnly="0" labelOnly="1" outline="0" fieldPosition="0"/>
    </format>
    <format dxfId="161">
      <pivotArea field="2" type="button" dataOnly="0" labelOnly="1" outline="0" axis="axisCol" fieldPosition="0"/>
    </format>
    <format dxfId="160">
      <pivotArea type="topRight" dataOnly="0" labelOnly="1" outline="0" fieldPosition="0"/>
    </format>
    <format dxfId="159">
      <pivotArea dataOnly="0" labelOnly="1" fieldPosition="0">
        <references count="1">
          <reference field="2" count="3">
            <x v="1"/>
            <x v="2"/>
            <x v="3"/>
          </reference>
        </references>
      </pivotArea>
    </format>
    <format dxfId="158">
      <pivotArea dataOnly="0" labelOnly="1" grandCol="1" outline="0" fieldPosition="0"/>
    </format>
    <format dxfId="157">
      <pivotArea grandRow="1" outline="0" collapsedLevelsAreSubtotals="1" fieldPosition="0"/>
    </format>
    <format dxfId="156">
      <pivotArea dataOnly="0" labelOnly="1" grandRow="1" outline="0" fieldPosition="0"/>
    </format>
    <format dxfId="155">
      <pivotArea grandRow="1" outline="0" collapsedLevelsAreSubtotals="1" fieldPosition="0"/>
    </format>
    <format dxfId="154">
      <pivotArea dataOnly="0" labelOnly="1" grandRow="1" outline="0" fieldPosition="0"/>
    </format>
    <format dxfId="153">
      <pivotArea outline="0" collapsedLevelsAreSubtotals="1" fieldPosition="0"/>
    </format>
    <format dxfId="152">
      <pivotArea dataOnly="0" labelOnly="1" outline="0" axis="axisValues" fieldPosition="0"/>
    </format>
    <format dxfId="151">
      <pivotArea outline="0" collapsedLevelsAreSubtotals="1" fieldPosition="0"/>
    </format>
    <format dxfId="150">
      <pivotArea dataOnly="0" labelOnly="1" outline="0" axis="axisValues" fieldPosition="0"/>
    </format>
    <format dxfId="149">
      <pivotArea outline="0" collapsedLevelsAreSubtotals="1" fieldPosition="0"/>
    </format>
    <format dxfId="148">
      <pivotArea dataOnly="0" labelOnly="1" outline="0" axis="axisValues" fieldPosition="0"/>
    </format>
    <format dxfId="1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2E15C-A181-4489-B351-BABB10BE90E2}" name="TablaDinámica3" cacheId="14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7">
  <location ref="A5:E14" firstHeaderRow="1" firstDataRow="1" firstDataCol="4" rowPageCount="3" colPageCount="1"/>
  <pivotFields count="10">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items count="8">
        <item x="0" e="0"/>
        <item x="1" e="0"/>
        <item x="2" e="0"/>
        <item x="3" e="0"/>
        <item x="4" e="0"/>
        <item x="5" e="0"/>
        <item x="6" e="0"/>
        <item x="7" e="0"/>
      </items>
      <extLst>
        <ext xmlns:x14="http://schemas.microsoft.com/office/spreadsheetml/2009/9/main" uri="{2946ED86-A175-432a-8AC1-64E0C546D7DE}">
          <x14:pivotField fillDownLabels="1"/>
        </ext>
      </extLst>
    </pivotField>
    <pivotField axis="axisRow" allDrilled="1" outline="0" subtotalTop="0" showAll="0" dataSourceSort="1" defaultSubtotal="0">
      <items count="2">
        <item s="1" x="0" e="0"/>
        <item s="1" x="1" e="0"/>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items count="3">
        <item x="0" e="0"/>
        <item x="1" e="0"/>
        <item x="2" e="0"/>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7">
        <item x="0"/>
        <item x="1"/>
        <item x="2"/>
        <item x="3"/>
        <item x="4"/>
        <item x="5"/>
        <item x="6"/>
      </items>
    </pivotField>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4">
    <field x="2"/>
    <field x="3"/>
    <field x="5"/>
    <field x="6"/>
  </rowFields>
  <rowItems count="9">
    <i>
      <x/>
    </i>
    <i>
      <x v="1"/>
    </i>
    <i>
      <x v="2"/>
    </i>
    <i>
      <x v="3"/>
    </i>
    <i>
      <x v="4"/>
    </i>
    <i>
      <x v="5"/>
    </i>
    <i>
      <x v="6"/>
    </i>
    <i>
      <x v="7"/>
    </i>
    <i t="grand">
      <x/>
    </i>
  </rowItems>
  <colItems count="1">
    <i/>
  </colItems>
  <pageFields count="3">
    <pageField fld="0" hier="4" name="[Tabla1].[Trimestre].[All]" cap="All"/>
    <pageField fld="1" hier="5" name="[Tabla1].[Año].&amp;[2022]" cap="2022"/>
    <pageField fld="7" hier="14" name="[Tabla1].[Estatus].&amp;[Cerrado]" cap="Cerrado"/>
  </pageFields>
  <dataFields count="1">
    <dataField name="Recuento de Tipo de Registro" fld="4" subtotal="count" baseField="0" baseItem="0"/>
  </dataFields>
  <chartFormats count="2">
    <chartFormat chart="3" format="0"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s>
  <pivotHierarchies count="4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4">
    <rowHierarchyUsage hierarchyUsage="9"/>
    <rowHierarchyUsage hierarchyUsage="2"/>
    <rowHierarchyUsage hierarchyUsage="17"/>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7C8388E-278C-47DB-9536-FD1B70A2DB4B}" name="TablaDinámica5" cacheId="151"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1">
  <location ref="K15:L17" firstHeaderRow="1" firstDataRow="1" firstDataCol="1"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llDrilled="1" subtotalTop="0" showAll="0" dataSourceSort="1" defaultSubtotal="0" defaultAttributeDrillState="1">
      <items count="11">
        <item s="1" x="0"/>
        <item s="1" x="1"/>
        <item s="1" x="2"/>
        <item s="1" x="3"/>
        <item s="1" x="4"/>
        <item s="1" x="5"/>
        <item s="1" x="6"/>
        <item s="1" x="7"/>
        <item s="1" x="8"/>
        <item s="1" x="9"/>
        <item s="1" x="10"/>
      </items>
    </pivotField>
    <pivotField axis="axisRow" allDrilled="1" subtotalTop="0" showAll="0" dataSourceSort="1" defaultSubtotal="0" defaultAttributeDrillState="1">
      <items count="1">
        <item s="1" x="0"/>
      </items>
    </pivotField>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5"/>
  </rowFields>
  <rowItems count="2">
    <i>
      <x/>
    </i>
    <i t="grand">
      <x/>
    </i>
  </rowItems>
  <colItems count="1">
    <i/>
  </colItems>
  <pageFields count="2">
    <pageField fld="0" hier="4" name="[Tabla1].[Trimestre].[All]" cap="All"/>
    <pageField fld="1" hier="5" name="[Tabla1].[Año].&amp;[2023]" cap="2023"/>
  </pageFields>
  <dataFields count="1">
    <dataField name="Recuento de Tipo de Registro" fld="3" subtotal="count" baseField="0" baseItem="0"/>
  </dataFields>
  <chartFormats count="6">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6" format="0" series="1">
      <pivotArea type="data" outline="0" fieldPosition="0">
        <references count="1">
          <reference field="4294967294" count="1" selected="0">
            <x v="0"/>
          </reference>
        </references>
      </pivotArea>
    </chartFormat>
    <chartFormat chart="20" format="3" series="1">
      <pivotArea type="data" outline="0" fieldPosition="0">
        <references count="1">
          <reference field="4294967294" count="1" selected="0">
            <x v="0"/>
          </reference>
        </references>
      </pivotArea>
    </chartFormat>
    <chartFormat chart="20" format="4">
      <pivotArea type="data" outline="0" fieldPosition="0">
        <references count="2">
          <reference field="4294967294" count="1" selected="0">
            <x v="0"/>
          </reference>
          <reference field="5" count="1" selected="0">
            <x v="0"/>
          </reference>
        </references>
      </pivotArea>
    </chartFormat>
  </chartFormats>
  <pivotHierarchies count="45">
    <pivotHierarchy dragToData="1"/>
    <pivotHierarchy dragToData="1"/>
    <pivotHierarchy dragToData="1"/>
    <pivotHierarchy dragToData="1"/>
    <pivotHierarchy multipleItemSelectionAllowed="1" dragToData="1"/>
    <pivotHierarchy multipleItemSelectionAllowed="1" dragToData="1">
      <members count="1" level="1">
        <member name="[Tabla1].[Año].&amp;[2023]"/>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Tabla3].[Días CGR].&amp;"/>
        <member name=""/>
        <member name=""/>
        <member name=""/>
        <member name=""/>
        <member name=""/>
        <member name=""/>
        <member name=""/>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3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4BF9526-365F-4E69-820C-F194A1943512}" name="TablaDinámica4" cacheId="148"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9">
  <location ref="H5:I14" firstHeaderRow="1" firstDataRow="1" firstDataCol="1" rowPageCount="3"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Row" allDrilled="1" subtotalTop="0" showAll="0" sortType="ascending" defaultSubtotal="0" defaultAttributeDrillState="1">
      <items count="10">
        <item s="1" x="0"/>
        <item s="1" x="1"/>
        <item s="1" x="2"/>
        <item s="1" x="8"/>
        <item s="1" x="9"/>
        <item s="1" x="3"/>
        <item s="1" x="4"/>
        <item s="1" x="5"/>
        <item s="1" x="6"/>
        <item s="1" x="7"/>
      </items>
    </pivotField>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4"/>
  </rowFields>
  <rowItems count="9">
    <i>
      <x/>
    </i>
    <i>
      <x v="1"/>
    </i>
    <i>
      <x v="2"/>
    </i>
    <i>
      <x v="5"/>
    </i>
    <i>
      <x v="6"/>
    </i>
    <i>
      <x v="7"/>
    </i>
    <i>
      <x v="8"/>
    </i>
    <i>
      <x v="9"/>
    </i>
    <i t="grand">
      <x/>
    </i>
  </rowItems>
  <colItems count="1">
    <i/>
  </colItems>
  <pageFields count="3">
    <pageField fld="0" hier="4" name="[Tabla1].[Trimestre].[All]" cap="All"/>
    <pageField fld="1" hier="5" name="[Tabla1].[Año].&amp;[2022]" cap="2022"/>
    <pageField fld="5" hier="14" name="[Tabla1].[Estatus].&amp;[Cerrado]" cap="Cerrado"/>
  </pageFields>
  <dataFields count="1">
    <dataField name="Recuento de Tipo de Registro" fld="3" subtotal="count" baseField="0" baseItem="0"/>
  </dataFields>
  <chartFormats count="11">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8" format="2" series="1">
      <pivotArea type="data" outline="0" fieldPosition="0">
        <references count="1">
          <reference field="4294967294" count="1" selected="0">
            <x v="0"/>
          </reference>
        </references>
      </pivotArea>
    </chartFormat>
    <chartFormat chart="18" format="3">
      <pivotArea type="data" outline="0" fieldPosition="0">
        <references count="2">
          <reference field="4294967294" count="1" selected="0">
            <x v="0"/>
          </reference>
          <reference field="4" count="1" selected="0">
            <x v="0"/>
          </reference>
        </references>
      </pivotArea>
    </chartFormat>
    <chartFormat chart="18" format="4">
      <pivotArea type="data" outline="0" fieldPosition="0">
        <references count="2">
          <reference field="4294967294" count="1" selected="0">
            <x v="0"/>
          </reference>
          <reference field="4" count="1" selected="0">
            <x v="1"/>
          </reference>
        </references>
      </pivotArea>
    </chartFormat>
    <chartFormat chart="18" format="5">
      <pivotArea type="data" outline="0" fieldPosition="0">
        <references count="2">
          <reference field="4294967294" count="1" selected="0">
            <x v="0"/>
          </reference>
          <reference field="4" count="1" selected="0">
            <x v="6"/>
          </reference>
        </references>
      </pivotArea>
    </chartFormat>
    <chartFormat chart="18" format="6">
      <pivotArea type="data" outline="0" fieldPosition="0">
        <references count="2">
          <reference field="4294967294" count="1" selected="0">
            <x v="0"/>
          </reference>
          <reference field="4" count="1" selected="0">
            <x v="7"/>
          </reference>
        </references>
      </pivotArea>
    </chartFormat>
    <chartFormat chart="18" format="7">
      <pivotArea type="data" outline="0" fieldPosition="0">
        <references count="2">
          <reference field="4294967294" count="1" selected="0">
            <x v="0"/>
          </reference>
          <reference field="4" count="1" selected="0">
            <x v="8"/>
          </reference>
        </references>
      </pivotArea>
    </chartFormat>
    <chartFormat chart="18" format="8">
      <pivotArea type="data" outline="0" fieldPosition="0">
        <references count="2">
          <reference field="4294967294" count="1" selected="0">
            <x v="0"/>
          </reference>
          <reference field="4" count="1" selected="0">
            <x v="3"/>
          </reference>
        </references>
      </pivotArea>
    </chartFormat>
    <chartFormat chart="18" format="9">
      <pivotArea type="data" outline="0" fieldPosition="0">
        <references count="2">
          <reference field="4294967294" count="1" selected="0">
            <x v="0"/>
          </reference>
          <reference field="4" count="1" selected="0">
            <x v="1048832"/>
          </reference>
        </references>
      </pivotArea>
    </chartFormat>
  </chartFormats>
  <pivotHierarchies count="4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
        <member name=""/>
        <member name=""/>
        <member name=""/>
        <member name=""/>
        <member name=""/>
        <member name="[Tabla3].[Días CGR].&amp;[7]"/>
        <member name=""/>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8CE705C-C38F-4A0C-A569-15B20EBF890C}" name="TablaDinámica2" cacheId="145"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8">
  <location ref="K5:L8" firstHeaderRow="1" firstDataRow="1" firstDataCol="1" rowPageCount="3"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2"/>
  </rowFields>
  <rowItems count="3">
    <i>
      <x/>
    </i>
    <i>
      <x v="1"/>
    </i>
    <i t="grand">
      <x/>
    </i>
  </rowItems>
  <colItems count="1">
    <i/>
  </colItems>
  <pageFields count="3">
    <pageField fld="0" hier="4" name="[Tabla1].[Trimestre].[All]" cap="All"/>
    <pageField fld="1" hier="5" name="[Tabla1].[Año].&amp;[2022]" cap="2022"/>
    <pageField fld="4" hier="14" name="[Tabla1].[Estatus].&amp;[Cerrado]" cap="Cerrado"/>
  </pageFields>
  <dataFields count="1">
    <dataField name="Recuento de Tipo de Registro" fld="3" subtotal="count" baseField="0" baseItem="0"/>
  </dataFields>
  <chartFormats count="5">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7" format="6" series="1">
      <pivotArea type="data" outline="0" fieldPosition="0">
        <references count="1">
          <reference field="4294967294" count="1" selected="0">
            <x v="0"/>
          </reference>
        </references>
      </pivotArea>
    </chartFormat>
    <chartFormat chart="17" format="7">
      <pivotArea type="data" outline="0" fieldPosition="0">
        <references count="2">
          <reference field="4294967294" count="1" selected="0">
            <x v="0"/>
          </reference>
          <reference field="2" count="1" selected="0">
            <x v="0"/>
          </reference>
        </references>
      </pivotArea>
    </chartFormat>
    <chartFormat chart="17" format="8">
      <pivotArea type="data" outline="0" fieldPosition="0">
        <references count="2">
          <reference field="4294967294" count="1" selected="0">
            <x v="0"/>
          </reference>
          <reference field="2" count="1" selected="0">
            <x v="1"/>
          </reference>
        </references>
      </pivotArea>
    </chartFormat>
  </chartFormats>
  <pivotHierarchies count="4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8D4DB52-D01D-40E8-A3E1-7D7277C1FF57}"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rowHeaderCaption="No.">
  <location ref="A3:D4" firstHeaderRow="1" firstDataRow="1" firstDataCol="4" rowPageCount="1" colPageCount="1"/>
  <pivotFields count="20">
    <pivotField axis="axisRow"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s>
    </pivotField>
    <pivotField axis="axisRow" outline="0" showAll="0" defaultSubtotal="0">
      <items count="106">
        <item x="1"/>
        <item x="4"/>
        <item x="3"/>
        <item x="7"/>
        <item x="11"/>
        <item x="16"/>
        <item x="18"/>
        <item x="19"/>
        <item x="23"/>
        <item x="33"/>
        <item x="42"/>
        <item x="44"/>
        <item x="45"/>
        <item x="56"/>
        <item x="67"/>
        <item x="72"/>
        <item x="76"/>
        <item m="1" x="103"/>
        <item m="1" x="105"/>
        <item m="1" x="104"/>
        <item m="1" x="102"/>
        <item x="8"/>
        <item x="9"/>
        <item x="12"/>
        <item x="13"/>
        <item x="14"/>
        <item x="15"/>
        <item x="17"/>
        <item x="20"/>
        <item x="21"/>
        <item x="22"/>
        <item x="25"/>
        <item x="26"/>
        <item x="27"/>
        <item x="28"/>
        <item x="29"/>
        <item x="30"/>
        <item x="31"/>
        <item x="32"/>
        <item x="34"/>
        <item x="35"/>
        <item x="36"/>
        <item x="37"/>
        <item x="38"/>
        <item x="39"/>
        <item x="40"/>
        <item x="41"/>
        <item x="43"/>
        <item x="46"/>
        <item x="47"/>
        <item x="48"/>
        <item x="50"/>
        <item x="51"/>
        <item x="52"/>
        <item x="53"/>
        <item x="54"/>
        <item x="55"/>
        <item x="57"/>
        <item x="58"/>
        <item x="59"/>
        <item x="60"/>
        <item x="61"/>
        <item x="63"/>
        <item x="64"/>
        <item x="65"/>
        <item x="68"/>
        <item x="69"/>
        <item x="73"/>
        <item x="74"/>
        <item x="75"/>
        <item x="77"/>
        <item x="10"/>
        <item x="24"/>
        <item x="62"/>
        <item x="66"/>
        <item x="0"/>
        <item x="2"/>
        <item x="5"/>
        <item x="6"/>
        <item x="49"/>
        <item x="70"/>
        <item x="71"/>
        <item x="78"/>
        <item m="1" x="101"/>
        <item x="79"/>
        <item x="80"/>
        <item x="81"/>
        <item x="82"/>
        <item x="83"/>
        <item x="84"/>
        <item x="85"/>
        <item x="86"/>
        <item x="87"/>
        <item x="88"/>
        <item x="89"/>
        <item x="90"/>
        <item x="91"/>
        <item x="92"/>
        <item x="93"/>
        <item x="94"/>
        <item x="95"/>
        <item x="96"/>
        <item x="97"/>
        <item x="98"/>
        <item x="99"/>
        <item x="100"/>
      </items>
    </pivotField>
    <pivotField showAll="0"/>
    <pivotField name="Fecha de " axis="axisRow" numFmtId="14" outline="0" showAll="0" defaultSubtotal="0">
      <items count="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2"/>
        <item x="53"/>
        <item x="54"/>
        <item x="57"/>
        <item x="58"/>
        <item x="59"/>
        <item x="60"/>
        <item x="39"/>
        <item x="55"/>
        <item x="56"/>
        <item x="61"/>
        <item x="62"/>
        <item x="63"/>
        <item x="64"/>
        <item x="65"/>
        <item x="66"/>
        <item x="67"/>
        <item x="68"/>
        <item x="69"/>
        <item x="70"/>
        <item x="71"/>
        <item x="72"/>
        <item x="73"/>
        <item x="74"/>
        <item x="75"/>
        <item x="76"/>
        <item x="77"/>
        <item x="78"/>
      </items>
    </pivotField>
    <pivotField showAll="0"/>
    <pivotField showAll="0"/>
    <pivotField showAll="0"/>
    <pivotField showAll="0"/>
    <pivotField showAll="0"/>
    <pivotField showAll="0"/>
    <pivotField showAll="0"/>
    <pivotField showAll="0"/>
    <pivotField showAll="0"/>
    <pivotField showAll="0"/>
    <pivotField axis="axisPage" showAll="0">
      <items count="6">
        <item m="1" x="4"/>
        <item x="0"/>
        <item m="1" x="2"/>
        <item m="1" x="3"/>
        <item x="1"/>
        <item t="default"/>
      </items>
    </pivotField>
    <pivotField axis="axisRow" outline="0" showAll="0">
      <items count="21">
        <item x="10"/>
        <item x="9"/>
        <item x="12"/>
        <item x="7"/>
        <item x="5"/>
        <item x="8"/>
        <item x="1"/>
        <item x="11"/>
        <item x="13"/>
        <item x="4"/>
        <item x="0"/>
        <item x="3"/>
        <item x="17"/>
        <item x="6"/>
        <item x="2"/>
        <item x="16"/>
        <item x="14"/>
        <item x="15"/>
        <item m="1" x="19"/>
        <item x="18"/>
        <item t="default"/>
      </items>
    </pivotField>
    <pivotField showAll="0"/>
    <pivotField showAll="0"/>
    <pivotField showAll="0"/>
    <pivotField showAll="0"/>
  </pivotFields>
  <rowFields count="4">
    <field x="0"/>
    <field x="1"/>
    <field x="3"/>
    <field x="15"/>
  </rowFields>
  <rowItems count="1">
    <i>
      <x v="95"/>
      <x v="100"/>
      <x v="74"/>
      <x v="3"/>
    </i>
  </rowItems>
  <colItems count="1">
    <i/>
  </colItems>
  <pageFields count="1">
    <pageField fld="14" item="4" hier="-1"/>
  </pageFields>
  <formats count="43">
    <format dxfId="105">
      <pivotArea field="0" type="button" dataOnly="0" labelOnly="1" outline="0" axis="axisRow" fieldPosition="0"/>
    </format>
    <format dxfId="104">
      <pivotArea field="1" type="button" dataOnly="0" labelOnly="1" outline="0" axis="axisRow" fieldPosition="1"/>
    </format>
    <format dxfId="103">
      <pivotArea field="3" type="button" dataOnly="0" labelOnly="1" outline="0" axis="axisRow" fieldPosition="2"/>
    </format>
    <format dxfId="102">
      <pivotArea field="15" type="button" dataOnly="0" labelOnly="1" outline="0" axis="axisRow" fieldPosition="3"/>
    </format>
    <format dxfId="101">
      <pivotArea dataOnly="0" labelOnly="1" fieldPosition="0">
        <references count="1">
          <reference field="0" count="3">
            <x v="66"/>
            <x v="69"/>
            <x v="73"/>
          </reference>
        </references>
      </pivotArea>
    </format>
    <format dxfId="100">
      <pivotArea dataOnly="0" labelOnly="1" fieldPosition="0">
        <references count="2">
          <reference field="0" count="1" selected="0">
            <x v="66"/>
          </reference>
          <reference field="1" count="1">
            <x v="14"/>
          </reference>
        </references>
      </pivotArea>
    </format>
    <format dxfId="99">
      <pivotArea dataOnly="0" labelOnly="1" fieldPosition="0">
        <references count="2">
          <reference field="0" count="1" selected="0">
            <x v="69"/>
          </reference>
          <reference field="1" count="1">
            <x v="15"/>
          </reference>
        </references>
      </pivotArea>
    </format>
    <format dxfId="98">
      <pivotArea dataOnly="0" labelOnly="1" fieldPosition="0">
        <references count="2">
          <reference field="0" count="1" selected="0">
            <x v="73"/>
          </reference>
          <reference field="1" count="1">
            <x v="16"/>
          </reference>
        </references>
      </pivotArea>
    </format>
    <format dxfId="97">
      <pivotArea dataOnly="0" labelOnly="1" fieldPosition="0">
        <references count="3">
          <reference field="0" count="1" selected="0">
            <x v="66"/>
          </reference>
          <reference field="1" count="1" selected="0">
            <x v="14"/>
          </reference>
          <reference field="3" count="1">
            <x v="51"/>
          </reference>
        </references>
      </pivotArea>
    </format>
    <format dxfId="96">
      <pivotArea dataOnly="0" labelOnly="1" fieldPosition="0">
        <references count="3">
          <reference field="0" count="1" selected="0">
            <x v="69"/>
          </reference>
          <reference field="1" count="1" selected="0">
            <x v="15"/>
          </reference>
          <reference field="3" count="1">
            <x v="54"/>
          </reference>
        </references>
      </pivotArea>
    </format>
    <format dxfId="95">
      <pivotArea dataOnly="0" labelOnly="1" fieldPosition="0">
        <references count="3">
          <reference field="0" count="1" selected="0">
            <x v="73"/>
          </reference>
          <reference field="1" count="1" selected="0">
            <x v="16"/>
          </reference>
          <reference field="3" count="1">
            <x v="57"/>
          </reference>
        </references>
      </pivotArea>
    </format>
    <format dxfId="94">
      <pivotArea dataOnly="0" labelOnly="1" fieldPosition="0">
        <references count="4">
          <reference field="0" count="1" selected="0">
            <x v="66"/>
          </reference>
          <reference field="1" count="1" selected="0">
            <x v="14"/>
          </reference>
          <reference field="3" count="1" selected="0">
            <x v="51"/>
          </reference>
          <reference field="15" count="1">
            <x v="16"/>
          </reference>
        </references>
      </pivotArea>
    </format>
    <format dxfId="93">
      <pivotArea dataOnly="0" labelOnly="1" fieldPosition="0">
        <references count="4">
          <reference field="0" count="1" selected="0">
            <x v="69"/>
          </reference>
          <reference field="1" count="1" selected="0">
            <x v="15"/>
          </reference>
          <reference field="3" count="1" selected="0">
            <x v="54"/>
          </reference>
          <reference field="15" count="1">
            <x v="15"/>
          </reference>
        </references>
      </pivotArea>
    </format>
    <format dxfId="92">
      <pivotArea dataOnly="0" labelOnly="1" fieldPosition="0">
        <references count="4">
          <reference field="0" count="1" selected="0">
            <x v="73"/>
          </reference>
          <reference field="1" count="1" selected="0">
            <x v="16"/>
          </reference>
          <reference field="3" count="1" selected="0">
            <x v="57"/>
          </reference>
          <reference field="15" count="1">
            <x v="4"/>
          </reference>
        </references>
      </pivotArea>
    </format>
    <format dxfId="91">
      <pivotArea dataOnly="0" labelOnly="1" fieldPosition="0">
        <references count="1">
          <reference field="0" count="1">
            <x v="76"/>
          </reference>
        </references>
      </pivotArea>
    </format>
    <format dxfId="90">
      <pivotArea dataOnly="0" labelOnly="1" fieldPosition="0">
        <references count="2">
          <reference field="0" count="1" selected="0">
            <x v="76"/>
          </reference>
          <reference field="1" count="1">
            <x v="16"/>
          </reference>
        </references>
      </pivotArea>
    </format>
    <format dxfId="89">
      <pivotArea dataOnly="0" labelOnly="1" fieldPosition="0">
        <references count="3">
          <reference field="0" count="1" selected="0">
            <x v="76"/>
          </reference>
          <reference field="1" count="1" selected="0">
            <x v="16"/>
          </reference>
          <reference field="3" count="1">
            <x v="57"/>
          </reference>
        </references>
      </pivotArea>
    </format>
    <format dxfId="88">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87">
      <pivotArea field="0" type="button" dataOnly="0" labelOnly="1" outline="0" axis="axisRow" fieldPosition="0"/>
    </format>
    <format dxfId="86">
      <pivotArea field="1" type="button" dataOnly="0" labelOnly="1" outline="0" axis="axisRow" fieldPosition="1"/>
    </format>
    <format dxfId="85">
      <pivotArea field="3" type="button" dataOnly="0" labelOnly="1" outline="0" axis="axisRow" fieldPosition="2"/>
    </format>
    <format dxfId="84">
      <pivotArea field="15" type="button" dataOnly="0" labelOnly="1" outline="0" axis="axisRow" fieldPosition="3"/>
    </format>
    <format dxfId="83">
      <pivotArea dataOnly="0" labelOnly="1" fieldPosition="0">
        <references count="1">
          <reference field="0" count="3">
            <x v="76"/>
            <x v="79"/>
            <x v="80"/>
          </reference>
        </references>
      </pivotArea>
    </format>
    <format dxfId="82">
      <pivotArea dataOnly="0" labelOnly="1" fieldPosition="0">
        <references count="2">
          <reference field="0" count="1" selected="0">
            <x v="76"/>
          </reference>
          <reference field="1" count="1">
            <x v="16"/>
          </reference>
        </references>
      </pivotArea>
    </format>
    <format dxfId="81">
      <pivotArea dataOnly="0" labelOnly="1" fieldPosition="0">
        <references count="2">
          <reference field="0" count="1" selected="0">
            <x v="79"/>
          </reference>
          <reference field="1" count="1">
            <x v="84"/>
          </reference>
        </references>
      </pivotArea>
    </format>
    <format dxfId="80">
      <pivotArea dataOnly="0" labelOnly="1" fieldPosition="0">
        <references count="2">
          <reference field="0" count="1" selected="0">
            <x v="80"/>
          </reference>
          <reference field="1" count="1">
            <x v="85"/>
          </reference>
        </references>
      </pivotArea>
    </format>
    <format dxfId="79">
      <pivotArea dataOnly="0" labelOnly="1" fieldPosition="0">
        <references count="3">
          <reference field="0" count="1" selected="0">
            <x v="76"/>
          </reference>
          <reference field="1" count="1" selected="0">
            <x v="16"/>
          </reference>
          <reference field="3" count="1">
            <x v="57"/>
          </reference>
        </references>
      </pivotArea>
    </format>
    <format dxfId="78">
      <pivotArea dataOnly="0" labelOnly="1" fieldPosition="0">
        <references count="3">
          <reference field="0" count="1" selected="0">
            <x v="79"/>
          </reference>
          <reference field="1" count="1" selected="0">
            <x v="84"/>
          </reference>
          <reference field="3" count="1">
            <x v="62"/>
          </reference>
        </references>
      </pivotArea>
    </format>
    <format dxfId="77">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76">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75">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74">
      <pivotArea dataOnly="0" labelOnly="1" fieldPosition="0">
        <references count="1">
          <reference field="0" count="3">
            <x v="76"/>
            <x v="79"/>
            <x v="80"/>
          </reference>
        </references>
      </pivotArea>
    </format>
    <format dxfId="73">
      <pivotArea dataOnly="0" labelOnly="1" fieldPosition="0">
        <references count="2">
          <reference field="0" count="1" selected="0">
            <x v="76"/>
          </reference>
          <reference field="1" count="1">
            <x v="16"/>
          </reference>
        </references>
      </pivotArea>
    </format>
    <format dxfId="72">
      <pivotArea dataOnly="0" labelOnly="1" fieldPosition="0">
        <references count="2">
          <reference field="0" count="1" selected="0">
            <x v="79"/>
          </reference>
          <reference field="1" count="1">
            <x v="84"/>
          </reference>
        </references>
      </pivotArea>
    </format>
    <format dxfId="71">
      <pivotArea dataOnly="0" labelOnly="1" fieldPosition="0">
        <references count="2">
          <reference field="0" count="1" selected="0">
            <x v="80"/>
          </reference>
          <reference field="1" count="1">
            <x v="85"/>
          </reference>
        </references>
      </pivotArea>
    </format>
    <format dxfId="70">
      <pivotArea dataOnly="0" labelOnly="1" fieldPosition="0">
        <references count="3">
          <reference field="0" count="1" selected="0">
            <x v="76"/>
          </reference>
          <reference field="1" count="1" selected="0">
            <x v="16"/>
          </reference>
          <reference field="3" count="1">
            <x v="57"/>
          </reference>
        </references>
      </pivotArea>
    </format>
    <format dxfId="69">
      <pivotArea dataOnly="0" labelOnly="1" fieldPosition="0">
        <references count="3">
          <reference field="0" count="1" selected="0">
            <x v="79"/>
          </reference>
          <reference field="1" count="1" selected="0">
            <x v="84"/>
          </reference>
          <reference field="3" count="1">
            <x v="62"/>
          </reference>
        </references>
      </pivotArea>
    </format>
    <format dxfId="68">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67">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66">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65">
      <pivotArea dataOnly="0" labelOnly="1" fieldPosition="0">
        <references count="2">
          <reference field="0" count="1" selected="0">
            <x v="80"/>
          </reference>
          <reference field="1" count="1">
            <x v="85"/>
          </reference>
        </references>
      </pivotArea>
    </format>
    <format dxfId="64">
      <pivotArea dataOnly="0" labelOnly="1" offset="IV256" fieldPosition="0">
        <references count="3">
          <reference field="0" count="1" selected="0">
            <x v="79"/>
          </reference>
          <reference field="1" count="1" selected="0">
            <x v="84"/>
          </reference>
          <reference field="3" count="1">
            <x v="62"/>
          </reference>
        </references>
      </pivotArea>
    </format>
    <format dxfId="63">
      <pivotArea dataOnly="0" labelOnly="1" fieldPosition="0">
        <references count="3">
          <reference field="0" count="1" selected="0">
            <x v="79"/>
          </reference>
          <reference field="1" count="1" selected="0">
            <x v="84"/>
          </reference>
          <reference field="3" count="1">
            <x v="6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rimestre" xr10:uid="{2C30D790-D154-434A-9E06-5D3FF9F0DC39}" sourceName="[Tabla1].[Trimestre]">
  <pivotTables>
    <pivotTable tabId="11" name="TablaDinámica3"/>
    <pivotTable tabId="11" name="TablaDinámica2"/>
    <pivotTable tabId="11" name="TablaDinámica4"/>
    <pivotTable tabId="11" name="TablaDinámica5"/>
  </pivotTables>
  <data>
    <olap pivotCacheId="1132537397">
      <levels count="2">
        <level uniqueName="[Tabla1].[Trimestre].[(All)]" sourceCaption="(All)" count="0"/>
        <level uniqueName="[Tabla1].[Trimestre].[Trimestre]" sourceCaption="Trimestre" count="4">
          <ranges>
            <range startItem="0">
              <i n="[Tabla1].[Trimestre].&amp;[T1]" c="T1"/>
              <i n="[Tabla1].[Trimestre].&amp;[T2]" c="T2"/>
              <i n="[Tabla1].[Trimestre].&amp;[T3]" c="T3"/>
              <i n="[Tabla1].[Trimestre].&amp;[T4]" c="T4"/>
            </range>
          </ranges>
        </level>
      </levels>
      <selections count="1">
        <selection n="[Tabla1].[Trimestr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Área_Responsable" xr10:uid="{E5464745-B99D-4B1B-8454-45556568CD63}" sourceName="[Tabla1].[Área Responsable]">
  <pivotTables>
    <pivotTable tabId="11" name="TablaDinámica3"/>
    <pivotTable tabId="11" name="TablaDinámica2"/>
    <pivotTable tabId="11" name="TablaDinámica4"/>
    <pivotTable tabId="11" name="TablaDinámica5"/>
  </pivotTables>
  <data>
    <olap pivotCacheId="1132537397">
      <levels count="2">
        <level uniqueName="[Tabla1].[Área Responsable].[(All)]" sourceCaption="(All)" count="0"/>
        <level uniqueName="[Tabla1].[Área Responsable].[Área Responsable]" sourceCaption="Área Responsable" count="18">
          <ranges>
            <range startItem="0">
              <i n="[Tabla1].[Área Responsable].&amp;[Departamento de Auditoria]" c="Departamento de Auditoria"/>
              <i n="[Tabla1].[Área Responsable].&amp;[Departamento de Serivicios Personales]" c="Departamento de Serivicios Personales"/>
              <i n="[Tabla1].[Área Responsable].&amp;[Dirección de Revisión Y Control de Calidad]" c="Dirección de Revisión Y Control de Calidad"/>
              <i n="[Tabla1].[Área Responsable].&amp;[División de Archivo Y Correspondencia]" c="División de Archivo Y Correspondencia"/>
              <i n="[Tabla1].[Área Responsable].&amp;[División de Certficaciones de Cargos]" c="División de Certficaciones de Cargos"/>
              <i n="[Tabla1].[Área Responsable].&amp;[Division de Certificaciones de Cargos]" c="Division de Certificaciones de Cargos"/>
              <i n="[Tabla1].[Área Responsable].&amp;[División de Certificaciones de cargos]" c="División de Certificaciones de cargos"/>
              <i n="[Tabla1].[Área Responsable].&amp;[N/A]" c="N/A"/>
              <i n="[Tabla1].[Área Responsable].&amp;[Oficina de Acceso a la información]" c="Oficina de Acceso a la información"/>
              <i n="[Tabla1].[Área Responsable].&amp;[Certificaciones de Cargos]" c="Certificaciones de Cargos"/>
              <i n="[Tabla1].[Área Responsable].&amp;[Mesa de Ayuda]" c="Mesa de Ayuda"/>
              <i n="[Tabla1].[Área Responsable].&amp;[Departamento Administrativo]" c="Departamento Administrativo" nd="1"/>
              <i n="[Tabla1].[Área Responsable].&amp;[Dirección Administrativa Financiera]" c="Dirección Administrativa Financiera" nd="1"/>
              <i n="[Tabla1].[Área Responsable].&amp;[Dirección de Recursos Humanos]" c="Dirección de Recursos Humanos" nd="1"/>
              <i n="[Tabla1].[Área Responsable].&amp;[División de Mayordomía]" c="División de Mayordomía" nd="1"/>
              <i n="[Tabla1].[Área Responsable].&amp;[Sección de Mayordomía]" c="Sección de Mayordomía" nd="1"/>
              <i n="[Tabla1].[Área Responsable].&amp;[Sección de Transportación]" c="Sección de Transportación" nd="1"/>
              <i n="[Tabla1].[Área Responsable].&amp;[Servicios de Comida]" c="Servicios de Comida" nd="1"/>
            </range>
          </ranges>
        </level>
      </levels>
      <selections count="1">
        <selection n="[Tabla1].[Área Responsabl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dencia" xr10:uid="{D58277BF-41D9-46B2-82DD-6FDD55D47793}" sourceName="[Tabla1].[Procedencia]">
  <pivotTables>
    <pivotTable tabId="11" name="TablaDinámica3"/>
    <pivotTable tabId="11" name="TablaDinámica2"/>
    <pivotTable tabId="11" name="TablaDinámica4"/>
    <pivotTable tabId="11" name="TablaDinámica5"/>
  </pivotTables>
  <data>
    <olap pivotCacheId="1132537397">
      <levels count="2">
        <level uniqueName="[Tabla1].[Procedencia].[(All)]" sourceCaption="(All)" count="0"/>
        <level uniqueName="[Tabla1].[Procedencia].[Procedencia]" sourceCaption="Procedencia" count="4">
          <ranges>
            <range startItem="0">
              <i n="[Tabla1].[Procedencia].&amp;[Buzón Físico]" c="Buzón Físico"/>
              <i n="[Tabla1].[Procedencia].&amp;[Buzón Web]" c="Buzón Web"/>
              <i n="[Tabla1].[Procedencia].&amp;[Correo Electrónico]" c="Correo Electrónico"/>
              <i n="[Tabla1].[Procedencia].&amp;[Línea 311]" c="Línea 311"/>
            </range>
          </ranges>
        </level>
      </levels>
      <selections count="1">
        <selection n="[Tabla1].[Procedencia].[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tus" xr10:uid="{854D5230-EFD3-4662-8DB8-B63C0B9F7E17}" sourceName="[Tabla1].[Estatus]">
  <pivotTables>
    <pivotTable tabId="11" name="TablaDinámica3"/>
    <pivotTable tabId="11" name="TablaDinámica2"/>
    <pivotTable tabId="11" name="TablaDinámica4"/>
    <pivotTable tabId="11" name="TablaDinámica5"/>
    <pivotTable tabId="8" name="TablaDinámica3"/>
  </pivotTables>
  <data>
    <olap pivotCacheId="1132537397">
      <levels count="2">
        <level uniqueName="[Tabla1].[Estatus].[(All)]" sourceCaption="(All)" count="0"/>
        <level uniqueName="[Tabla1].[Estatus].[Estatus]" sourceCaption="Estatus" count="3">
          <ranges>
            <range startItem="0">
              <i n="[Tabla1].[Estatus].&amp;[Cerrado]" c="Cerrado"/>
              <i n="[Tabla1].[Estatus].&amp;[En ejecución]" c="En ejecución"/>
              <i n="[Tabla1].[Estatus].&amp;[Abierto]" c="Abierto" nd="1"/>
            </range>
          </ranges>
        </level>
      </levels>
      <selections count="1">
        <selection n="[Tabla1].[Estatus].&amp;[Cerrado]"/>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iente" xr10:uid="{CCBC4C57-68A7-424A-BA8F-9159DD2D3D56}" sourceName="[Tabla1].[Cliente]">
  <pivotTables>
    <pivotTable tabId="11" name="TablaDinámica3"/>
    <pivotTable tabId="11" name="TablaDinámica2"/>
    <pivotTable tabId="11" name="TablaDinámica4"/>
    <pivotTable tabId="11" name="TablaDinámica5"/>
    <pivotTable tabId="8" name="TablaDinámica3"/>
  </pivotTables>
  <data>
    <olap pivotCacheId="1132537397">
      <levels count="2">
        <level uniqueName="[Tabla1].[Cliente].[(All)]" sourceCaption="(All)" count="0"/>
        <level uniqueName="[Tabla1].[Cliente].[Cliente]" sourceCaption="Cliente" count="2">
          <ranges>
            <range startItem="0">
              <i n="[Tabla1].[Cliente].&amp;[Externo]" c="Externo"/>
              <i n="[Tabla1].[Cliente].&amp;[Interno]" c="Interno"/>
            </range>
          </ranges>
        </level>
      </levels>
      <selections count="1">
        <selection n="[Tabla1].[Cliente].&amp;[Externo]"/>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tus" xr10:uid="{78B978EA-C4C8-46FD-A0F0-7EFA37E85FEA}" cache="SegmentaciónDeDatos_Estatus" caption="Estatus" level="1" rowHeight="234950"/>
  <slicer name="Cliente" xr10:uid="{7D07AE5F-F211-4D35-8430-6C4D053CE995}" cache="SegmentaciónDeDatos_Cliente" caption="Cliente" level="1"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imestre" xr10:uid="{CCDA5D57-2028-4028-BA27-8633FF090041}" cache="SegmentaciónDeDatos_Trimestre" caption="Trimestre" level="1" style="SlicerStyleDark3 3" rowHeight="234950"/>
  <slicer name="Área Responsable" xr10:uid="{6EDA5C4E-16F6-470C-A222-F45B794EF2A5}" cache="SegmentaciónDeDatos_Área_Responsable" caption="Área Responsable" level="1" style="SlicerStyleDark3 3" rowHeight="234950"/>
  <slicer name="Procedencia" xr10:uid="{70A800B2-F2BD-4A2A-88CC-BCB0D7C39306}" cache="SegmentaciónDeDatos_Procedencia" caption="Procedencia" level="1" style="SlicerStyleDark3 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73327A-1521-4BFD-B0E9-7407C03579E3}" name="Tabla1" displayName="Tabla1" ref="A9:T110" totalsRowShown="0" headerRowDxfId="213" dataDxfId="212" tableBorderDxfId="211">
  <autoFilter ref="A9:T110" xr:uid="{1973327A-1521-4BFD-B0E9-7407C03579E3}"/>
  <tableColumns count="20">
    <tableColumn id="1" xr3:uid="{EE63D4CE-D5A6-4B9A-BE40-F571A5DC28E6}" name="No. " dataDxfId="210">
      <calculatedColumnFormula>ROW(G10)-ROW($G$9)</calculatedColumnFormula>
    </tableColumn>
    <tableColumn id="2" xr3:uid="{762862D6-5A50-4748-B82F-E8B3432D4E33}" name="Código " dataDxfId="209"/>
    <tableColumn id="3" xr3:uid="{256690E0-F72E-4C7A-8C6C-25FEB5C63187}" name=" Tipo de Registro  " dataDxfId="208"/>
    <tableColumn id="4" xr3:uid="{8CC00D2C-62A2-4E56-A220-A1CC9EC1DA18}" name="Fecha de _x000a_Registro " dataDxfId="207"/>
    <tableColumn id="20" xr3:uid="{F2B2BCF6-3547-40E4-AB64-93CFF020E671}" name="Trimestre" dataDxfId="206">
      <calculatedColumnFormula array="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calculatedColumnFormula>
    </tableColumn>
    <tableColumn id="22" xr3:uid="{FBCE84A5-71BF-4A06-A1F1-FA9476088139}" name="Año" dataDxfId="205">
      <calculatedColumnFormula>IF(Tabla1[[#This Row],[Fecha de 
Registro ]]="","",YEAR(Tabla1[[#This Row],[Fecha de 
Registro ]]))</calculatedColumnFormula>
    </tableColumn>
    <tableColumn id="5" xr3:uid="{CB40DCE0-701A-467D-88CB-28B5E57D3031}" name="Datos del Reclamante " dataDxfId="204"/>
    <tableColumn id="6" xr3:uid="{EEBE11B3-A9A9-4F5B-9EAB-08A318406A73}" name="Teléfono " dataDxfId="203"/>
    <tableColumn id="7" xr3:uid="{5BB5DD2B-B636-4488-A713-98490DF053FC}" name="Email " dataDxfId="202" dataCellStyle="Hipervínculo"/>
    <tableColumn id="8" xr3:uid="{B5E03E26-D291-42FC-9719-87D1BEEE33C1}" name="Servicio _x000a_Afectado " dataDxfId="201"/>
    <tableColumn id="9" xr3:uid="{F1ACD39B-1B92-46A0-935B-A4DB9827A5A3}" name="Impacto " dataDxfId="200"/>
    <tableColumn id="10" xr3:uid="{6E8518BD-1A68-4599-97ED-0325A8475462}" name="Probabilidad" dataDxfId="199"/>
    <tableColumn id="11" xr3:uid="{E141B988-CB6D-418E-80D8-2A1B8F7E3757}" name="Calificación " dataDxfId="198"/>
    <tableColumn id="12" xr3:uid="{8D8A8AB7-9E29-4578-A04D-5A339059675C}" name="Nivel del _x000a_Riesgo  " dataDxfId="197"/>
    <tableColumn id="13" xr3:uid="{CEBEC726-AC49-4395-9E87-F025D46B9F0C}" name="Estatus " dataDxfId="196"/>
    <tableColumn id="14" xr3:uid="{B0D5BA37-C668-41BE-98E7-6D967121F0E1}" name="Área Responsable " dataDxfId="195"/>
    <tableColumn id="15" xr3:uid="{D9193A52-D9B5-49AA-98B5-02462B21D911}" name="Queja/Sugerencia/ Reclamacion escaneada " dataDxfId="194" dataCellStyle="Hipervínculo"/>
    <tableColumn id="16" xr3:uid="{C2E7CBA4-8745-47C5-A6F8-DAFF4FA2E92E}" name="Procedencia " dataDxfId="193"/>
    <tableColumn id="17" xr3:uid="{8AED75A5-8E33-49F0-BA18-556961654031}" name="Cliente" dataDxfId="192"/>
    <tableColumn id="18" xr3:uid="{4CB35EA7-8444-453A-A254-BB6364D86C81}" name="Género" dataDxfId="1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EDFDC5-1575-46F9-967A-326246951643}" name="Tabla3" displayName="Tabla3" ref="B9:Q110" totalsRowShown="0" dataDxfId="190" tableBorderDxfId="189">
  <autoFilter ref="B9:Q110" xr:uid="{96EDFDC5-1575-46F9-967A-326246951643}"/>
  <tableColumns count="16">
    <tableColumn id="1" xr3:uid="{388D5F53-528F-4692-BF2A-EA63839C5D0A}" name="No." dataDxfId="188">
      <calculatedColumnFormula>ROW(A10)-ROW($A$9)</calculatedColumnFormula>
    </tableColumn>
    <tableColumn id="2" xr3:uid="{F21B38AC-B2C8-4C6D-AEFA-48B22C5CDB2F}" name="Codigo " dataDxfId="187">
      <calculatedColumnFormula>IFERROR(VLOOKUP(B10,Tabla1[],2,FALSE),"")</calculatedColumnFormula>
    </tableColumn>
    <tableColumn id="3" xr3:uid="{982C7ED7-4353-4CC2-BB91-DC48E041C658}" name=" Tipo de Registro  " dataDxfId="186">
      <calculatedColumnFormula>IFERROR(VLOOKUP(B10,Tabla1[],3,FALSE),"")</calculatedColumnFormula>
    </tableColumn>
    <tableColumn id="5" xr3:uid="{231D1C85-4DE6-433D-90B0-4784CB76B429}" name="Trimestre" dataDxfId="185">
      <calculatedColumnFormula>IFERROR(VLOOKUP(B10,Tabla1[],5,FALSE),"")</calculatedColumnFormula>
    </tableColumn>
    <tableColumn id="15" xr3:uid="{5AF5DC70-1905-4326-A0BC-60581B16D643}" name="Año" dataDxfId="184">
      <calculatedColumnFormula>IFERROR(VLOOKUP(B10,Tabla1[],6,FALSE),"")</calculatedColumnFormula>
    </tableColumn>
    <tableColumn id="7" xr3:uid="{303EBEB2-5E36-4019-A8A6-7D9F88F55097}" name="Nivel de Riesgo " dataDxfId="183">
      <calculatedColumnFormula>IFERROR(VLOOKUP(Tabla3[[#This Row],[No.]],Tabla1[],19,FALSE),"")</calculatedColumnFormula>
    </tableColumn>
    <tableColumn id="4" xr3:uid="{3D2AA648-5CD1-4DB9-AA7F-A647326FDF86}" name="Fuente" dataDxfId="182">
      <calculatedColumnFormula>IFERROR(VLOOKUP(Tabla3[[#This Row],[No.]],Tabla1[],18,FALSE),"")</calculatedColumnFormula>
    </tableColumn>
    <tableColumn id="6" xr3:uid="{2ACB9989-123E-4467-9EB5-2DAC68B9ED24}" name="Causa Raiz " dataDxfId="181"/>
    <tableColumn id="8" xr3:uid="{5590B53A-36CF-4D82-80CC-2A623497CA47}" name="Acción de Mejora " dataDxfId="180"/>
    <tableColumn id="9" xr3:uid="{7DBC1DB5-F232-496E-B3FB-91BF9B9088AB}" name="Actividades " dataDxfId="179"/>
    <tableColumn id="10" xr3:uid="{0CA3D6CF-83F6-44E6-8959-B979708B7645}" name="Fecha de Inicio " dataDxfId="178"/>
    <tableColumn id="11" xr3:uid="{80F8FDB9-9063-4717-9688-D710409C5167}" name="Fecha de Fin " dataDxfId="177"/>
    <tableColumn id="12" xr3:uid="{625EAFA1-A988-433B-B216-B2EA24409A56}" name="Responsable (s) de la Implementación " dataDxfId="176"/>
    <tableColumn id="13" xr3:uid="{621DEDA6-8D0C-4660-A922-195BA3305F12}" name="Estatus " dataDxfId="175">
      <calculatedColumnFormula>IF(Tabla3[[#This Row],[Fecha de Fin ]]&lt;&gt;"","Cerrado","")</calculatedColumnFormula>
    </tableColumn>
    <tableColumn id="14" xr3:uid="{3D5F734F-DB95-4DCB-A9D8-9AD7320FF61C}" name="Días CGR" dataDxfId="174" dataCellStyle="Hipervínculo">
      <calculatedColumnFormula>IFERROR(IF(+NETWORKDAYS(L10,M10,Hoja3!A1:A41)-1&gt;=0,+NETWORKDAYS(L10,M10,Hoja3!A1:A41)-1,""),"")</calculatedColumnFormula>
    </tableColumn>
    <tableColumn id="16" xr3:uid="{B0F3A57F-03B7-4D33-9019-076CAA6CD69F}" name="Cumplimiento" dataDxfId="173" dataCellStyle="Hipervínculo">
      <calculatedColumnFormula array="1">_xlfn.IFS(Tabla3[[#This Row],[Días CGR]]&lt;=15,"A tiempo",Tabla3[[#This Row],[Días CGR]]="","",Tabla3[[#This Row],[Días CGR]]&gt;15,"En retraso")</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FDC591-C239-4144-8828-147014A21D1B}" name="Tabla4" displayName="Tabla4" ref="A1:C4" totalsRowShown="0" headerRowDxfId="146" dataDxfId="144" headerRowBorderDxfId="145" tableBorderDxfId="143" totalsRowBorderDxfId="142">
  <autoFilter ref="A1:C4" xr:uid="{33FDC591-C239-4144-8828-147014A21D1B}"/>
  <tableColumns count="3">
    <tableColumn id="1" xr3:uid="{F8688D49-5909-4831-B23E-8F5F5BF90B54}" name="Tipo" dataDxfId="141"/>
    <tableColumn id="2" xr3:uid="{6C2BCB5D-06F5-43FE-80C7-2879FD6D968D}" name="Cantidad" dataDxfId="140">
      <calculatedColumnFormula>SUMIF('Resumen Trimestral'!B:B,A2,'Resumen Trimestral'!F:F)</calculatedColumnFormula>
    </tableColumn>
    <tableColumn id="3" xr3:uid="{ED711AAD-55DE-4243-ABB9-EEC8D5097F2A}" name="Porciento" dataDxfId="139" dataCellStyle="Porcentaje">
      <calculatedColumnFormula>IFERROR(Tabla4[[#This Row],[Cantidad]]/$B$5,0)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A0792-26BE-427C-8AE9-DFCF752F54B7}" name="Tabla5" displayName="Tabla5" ref="A7:F10" totalsRowShown="0" headerRowDxfId="138" dataDxfId="136" headerRowBorderDxfId="137" tableBorderDxfId="135" totalsRowBorderDxfId="134">
  <autoFilter ref="A7:F10" xr:uid="{484A0792-26BE-427C-8AE9-DFCF752F54B7}"/>
  <tableColumns count="6">
    <tableColumn id="4" xr3:uid="{7B9D6E6F-B939-4AEA-AD2A-51497C1F8891}" name="Género" dataDxfId="133"/>
    <tableColumn id="1" xr3:uid="{BE72E9F8-1CE5-43CC-A3FC-0F9B2C9B9BA5}" name="Queja" dataDxfId="132">
      <calculatedColumnFormula>SUMIFS('Resumen Trimestral'!F:F,'Resumen Trimestral'!B:B,Tabla5[[#Headers],[Queja]],'Resumen Trimestral'!C:C,'Reporte Interno'!A8)</calculatedColumnFormula>
    </tableColumn>
    <tableColumn id="2" xr3:uid="{2FE61787-2EF6-4E0B-8587-C828540DE530}" name="Reclamación" dataDxfId="131">
      <calculatedColumnFormula>SUMIFS('Resumen Trimestral'!F:F,'Resumen Trimestral'!B:B,Tabla5[[#Headers],[Reclamación]],'Resumen Trimestral'!C:C,'Reporte Interno'!A8)</calculatedColumnFormula>
    </tableColumn>
    <tableColumn id="3" xr3:uid="{A9BAACAF-35E0-4033-96D3-C83CFF788D63}" name="Sugerencia" dataDxfId="130">
      <calculatedColumnFormula>SUMIFS('Resumen Trimestral'!F:F,'Resumen Trimestral'!B:B,Tabla5[[#Headers],[Sugerencia]],'Resumen Trimestral'!C:C,'Reporte Interno'!A8)</calculatedColumnFormula>
    </tableColumn>
    <tableColumn id="5" xr3:uid="{3B161817-10D6-4144-8922-A94FFE179B79}" name="Total" dataDxfId="129">
      <calculatedColumnFormula>SUM(Tabla5[[#This Row],[Queja]:[Sugerencia]])</calculatedColumnFormula>
    </tableColumn>
    <tableColumn id="6" xr3:uid="{51BEE086-7BE3-4336-B1BC-30C0756EA6CF}" name="Porciento" dataDxfId="128" dataCellStyle="Porcentaje">
      <calculatedColumnFormula>IFERROR(Tabla5[[#This Row],[Total]]/$B$5,0)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678961-EFD7-4E8C-9C8C-B5DB8DDC0E6B}" name="Tabla7" displayName="Tabla7" ref="A12:F16" totalsRowShown="0" headerRowDxfId="127" dataDxfId="125" headerRowBorderDxfId="126" tableBorderDxfId="124" totalsRowBorderDxfId="123">
  <autoFilter ref="A12:F16" xr:uid="{E6678961-EFD7-4E8C-9C8C-B5DB8DDC0E6B}"/>
  <tableColumns count="6">
    <tableColumn id="1" xr3:uid="{B15028B5-877D-4F4E-A552-502BB973E1E4}" name="Procedencia" dataDxfId="122"/>
    <tableColumn id="2" xr3:uid="{E4EAF1FB-AAC4-403B-9E42-1B3D2A3B0F5C}" name="Queja" dataDxfId="121">
      <calculatedColumnFormula>SUMIFS('Resumen Trimestral'!F:F,'Resumen Trimestral'!B:B,Tabla7[[#Headers],[Queja]],'Resumen Trimestral'!D:D,'Reporte Interno'!A13)</calculatedColumnFormula>
    </tableColumn>
    <tableColumn id="3" xr3:uid="{3910116D-DE69-4D6B-8005-6965DB31A08B}" name="Reclamación" dataDxfId="120">
      <calculatedColumnFormula>SUMIFS('Resumen Trimestral'!F:F,'Resumen Trimestral'!B:B,Tabla7[[#Headers],[Reclamación]],'Resumen Trimestral'!D:D,'Reporte Interno'!A13)</calculatedColumnFormula>
    </tableColumn>
    <tableColumn id="4" xr3:uid="{20A30B75-66D5-4468-B8D9-181BC4E5879A}" name="Sugerencia" dataDxfId="119">
      <calculatedColumnFormula>SUMIFS('Resumen Trimestral'!F:F,'Resumen Trimestral'!B:B,Tabla7[[#Headers],[Sugerencia]],'Resumen Trimestral'!D:D,'Reporte Interno'!A13)</calculatedColumnFormula>
    </tableColumn>
    <tableColumn id="5" xr3:uid="{83DB341F-B063-4066-9D4F-DB6A845275EA}" name="Total" dataDxfId="118">
      <calculatedColumnFormula>SUM(Tabla7[[#This Row],[Queja]:[Sugerencia]])</calculatedColumnFormula>
    </tableColumn>
    <tableColumn id="6" xr3:uid="{50546334-6238-4948-81F6-E6ED29133924}" name="Porciento" dataDxfId="117" dataCellStyle="Porcentaje">
      <calculatedColumnFormula>IFERROR(Tabla7[[#This Row],[Total]]/$B$5,0)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39059A-D74E-4F03-A154-8853D138C0DD}" name="Tabla8" displayName="Tabla8" ref="A18:F20" totalsRowShown="0" headerRowDxfId="116" dataDxfId="114" headerRowBorderDxfId="115" tableBorderDxfId="113" totalsRowBorderDxfId="112">
  <autoFilter ref="A18:F20" xr:uid="{7939059A-D74E-4F03-A154-8853D138C0DD}"/>
  <tableColumns count="6">
    <tableColumn id="1" xr3:uid="{65240F15-E2D9-424C-8FE9-6BB543026012}" name="Cliente" dataDxfId="111"/>
    <tableColumn id="2" xr3:uid="{A94782C4-5DA4-4954-8517-3ADE8EAE1E81}" name="Queja" dataDxfId="110">
      <calculatedColumnFormula>SUMIFS('Resumen Trimestral'!F:F,'Resumen Trimestral'!B:B,Tabla8[[#Headers],[Queja]],'Resumen Trimestral'!E:E,Tabla8[[#This Row],[Cliente]])</calculatedColumnFormula>
    </tableColumn>
    <tableColumn id="3" xr3:uid="{9556B61E-9A42-47E1-B8A0-642FD05E93F9}" name="Reclamación" dataDxfId="109">
      <calculatedColumnFormula>SUMIFS('Resumen Trimestral'!F:F,'Resumen Trimestral'!B:B,Tabla8[[#Headers],[Reclamación]],'Resumen Trimestral'!E:E,Tabla8[[#This Row],[Cliente]])</calculatedColumnFormula>
    </tableColumn>
    <tableColumn id="4" xr3:uid="{E3F3162E-4801-4AC1-9A02-E49BE4F871E4}" name="Sugerencia" dataDxfId="108">
      <calculatedColumnFormula>SUMIFS('Resumen Trimestral'!F:F,'Resumen Trimestral'!B:B,Tabla8[[#Headers],[Sugerencia]],'Resumen Trimestral'!E:E,Tabla8[[#This Row],[Cliente]])</calculatedColumnFormula>
    </tableColumn>
    <tableColumn id="5" xr3:uid="{0DA9BF1D-7BC6-4DA8-918F-9D452C980FCC}" name="Total" dataDxfId="107">
      <calculatedColumnFormula>SUM(Tabla8[[#This Row],[Queja]:[Sugerencia]])</calculatedColumnFormula>
    </tableColumn>
    <tableColumn id="6" xr3:uid="{0527B9E1-D404-4933-8CD7-D1313C7CF1C6}" name="Porciento" dataDxfId="106" dataCellStyle="Porcentaje">
      <calculatedColumnFormula>IFERROR(Tabla8[[#This Row],[Total]]/$B$5,0)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7" dT="2023-01-03T13:54:53.54" personId="{F8EE96AE-7CDE-41EA-931B-B2FFD4ECFDF5}" id="{9BD86849-1B89-4F0A-ABDD-090DD5C3C5BC}">
    <text xml:space="preserve">Dia no laborable según derecho 772-23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0.pdf" TargetMode="External"/><Relationship Id="rId2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07.pdf" TargetMode="External"/><Relationship Id="rId42" Type="http://schemas.openxmlformats.org/officeDocument/2006/relationships/hyperlink" Target="mailto:jior013@hotmail.com" TargetMode="External"/><Relationship Id="rId6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9.pdf" TargetMode="External"/><Relationship Id="rId8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8.pdf" TargetMode="External"/><Relationship Id="rId1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4.pdf" TargetMode="External"/><Relationship Id="rId107" Type="http://schemas.openxmlformats.org/officeDocument/2006/relationships/hyperlink" Target="mailto:loliya7@hotmail.com" TargetMode="External"/><Relationship Id="rId1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4.pdf" TargetMode="External"/><Relationship Id="rId3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8.pdf" TargetMode="External"/><Relationship Id="rId3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8.pdf" TargetMode="External"/><Relationship Id="rId5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6.pdf" TargetMode="External"/><Relationship Id="rId5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7.pdf" TargetMode="External"/><Relationship Id="rId7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5.pdf" TargetMode="External"/><Relationship Id="rId7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7.msg" TargetMode="External"/><Relationship Id="rId102" Type="http://schemas.openxmlformats.org/officeDocument/2006/relationships/hyperlink" Target="mailto:nurysjabreu@hotmail.com" TargetMode="External"/><Relationship Id="rId12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3.pdf" TargetMode="External"/><Relationship Id="rId12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0.pdf" TargetMode="External"/><Relationship Id="rId5" Type="http://schemas.openxmlformats.org/officeDocument/2006/relationships/hyperlink" Target="mailto:omarreyesramirez@gmail.com" TargetMode="External"/><Relationship Id="rId9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2.pdf" TargetMode="External"/><Relationship Id="rId95" Type="http://schemas.openxmlformats.org/officeDocument/2006/relationships/hyperlink" Target="mailto:mariaidaliaguerrero@gmail.com" TargetMode="External"/><Relationship Id="rId22" Type="http://schemas.openxmlformats.org/officeDocument/2006/relationships/hyperlink" Target="mailto:luisramonantoniorodriguez@gmail.com" TargetMode="External"/><Relationship Id="rId2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4.pdf" TargetMode="External"/><Relationship Id="rId4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1.pdf" TargetMode="External"/><Relationship Id="rId4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5.pdf" TargetMode="External"/><Relationship Id="rId64" Type="http://schemas.openxmlformats.org/officeDocument/2006/relationships/hyperlink" Target="mailto:leonardogm778@gmail.com" TargetMode="External"/><Relationship Id="rId6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2.pdf" TargetMode="External"/><Relationship Id="rId11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6.pdf" TargetMode="External"/><Relationship Id="rId11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1.pdf" TargetMode="External"/><Relationship Id="rId134" Type="http://schemas.openxmlformats.org/officeDocument/2006/relationships/drawing" Target="../drawings/drawing1.xml"/><Relationship Id="rId8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3.msg" TargetMode="External"/><Relationship Id="rId85" Type="http://schemas.openxmlformats.org/officeDocument/2006/relationships/hyperlink" Target="mailto:bautistanarci@gmail.com" TargetMode="External"/><Relationship Id="rId1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3.pdf" TargetMode="External"/><Relationship Id="rId17" Type="http://schemas.openxmlformats.org/officeDocument/2006/relationships/hyperlink" Target="mailto:mlandais@contraloria.gob.do" TargetMode="External"/><Relationship Id="rId3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9.pdf" TargetMode="External"/><Relationship Id="rId38" Type="http://schemas.openxmlformats.org/officeDocument/2006/relationships/hyperlink" Target="mailto:axramos87@gmail.com" TargetMode="External"/><Relationship Id="rId5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8.pdf" TargetMode="External"/><Relationship Id="rId103" Type="http://schemas.openxmlformats.org/officeDocument/2006/relationships/hyperlink" Target="mailto:nurysjabreu@hotmail.com" TargetMode="External"/><Relationship Id="rId108" Type="http://schemas.openxmlformats.org/officeDocument/2006/relationships/hyperlink" Target="mailto:eaquino@idiaf.gov.do" TargetMode="External"/><Relationship Id="rId12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5.pdf" TargetMode="External"/><Relationship Id="rId129" Type="http://schemas.openxmlformats.org/officeDocument/2006/relationships/hyperlink" Target="mailto:dra.abreu08@gmail.com" TargetMode="External"/><Relationship Id="rId5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0.pdf" TargetMode="External"/><Relationship Id="rId7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1.pdf" TargetMode="External"/><Relationship Id="rId7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4.pdf" TargetMode="External"/><Relationship Id="rId91" Type="http://schemas.openxmlformats.org/officeDocument/2006/relationships/hyperlink" Target="mailto:sandraperezcarrasco@hotmail.com" TargetMode="External"/><Relationship Id="rId96" Type="http://schemas.openxmlformats.org/officeDocument/2006/relationships/hyperlink" Target="mailto:infooliverroosevelt@gmail.com" TargetMode="External"/><Relationship Id="rId1" Type="http://schemas.openxmlformats.org/officeDocument/2006/relationships/hyperlink" Target="mailto:aridiomorillo72@gmail.com" TargetMode="External"/><Relationship Id="rId6" Type="http://schemas.openxmlformats.org/officeDocument/2006/relationships/hyperlink" Target="mailto:omarreyesramirez@gmail.com" TargetMode="External"/><Relationship Id="rId2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3.pdf" TargetMode="External"/><Relationship Id="rId2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5.pdf" TargetMode="External"/><Relationship Id="rId4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4.pdf" TargetMode="External"/><Relationship Id="rId11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7.pdf" TargetMode="External"/><Relationship Id="rId11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2.pdf" TargetMode="External"/><Relationship Id="rId44" Type="http://schemas.openxmlformats.org/officeDocument/2006/relationships/hyperlink" Target="mailto:duclerisrubio@hotmail.com" TargetMode="External"/><Relationship Id="rId60" Type="http://schemas.openxmlformats.org/officeDocument/2006/relationships/hyperlink" Target="mailto:marinfante42@yahoo.com" TargetMode="External"/><Relationship Id="rId65" Type="http://schemas.openxmlformats.org/officeDocument/2006/relationships/hyperlink" Target="mailto:cuevascorides@outlook.com" TargetMode="External"/><Relationship Id="rId8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PISO%2011\Q14.pdf" TargetMode="External"/><Relationship Id="rId8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9.pdf" TargetMode="External"/><Relationship Id="rId130" Type="http://schemas.openxmlformats.org/officeDocument/2006/relationships/hyperlink" Target="mailto:dra.abreu08@gmail.com" TargetMode="External"/><Relationship Id="rId1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1.pdf" TargetMode="External"/><Relationship Id="rId1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2.pdf" TargetMode="External"/><Relationship Id="rId3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9.pdf" TargetMode="External"/><Relationship Id="rId109" Type="http://schemas.openxmlformats.org/officeDocument/2006/relationships/hyperlink" Target="mailto:nurysjabreu@hotmail.com" TargetMode="External"/><Relationship Id="rId34" Type="http://schemas.openxmlformats.org/officeDocument/2006/relationships/hyperlink" Target="mailto:anaestevezvelasquez@hotmail.com" TargetMode="External"/><Relationship Id="rId5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3.pdf" TargetMode="External"/><Relationship Id="rId5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1.msg" TargetMode="External"/><Relationship Id="rId76" Type="http://schemas.openxmlformats.org/officeDocument/2006/relationships/hyperlink" Target="mailto:menamike@hotmail.com" TargetMode="External"/><Relationship Id="rId97" Type="http://schemas.openxmlformats.org/officeDocument/2006/relationships/hyperlink" Target="mailto:elisamariott@gmail.com" TargetMode="External"/><Relationship Id="rId104" Type="http://schemas.openxmlformats.org/officeDocument/2006/relationships/hyperlink" Target="mailto:griseidaencarnacionfeliz@gmail.com" TargetMode="External"/><Relationship Id="rId12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2.pdf" TargetMode="External"/><Relationship Id="rId12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6.pdf" TargetMode="External"/><Relationship Id="rId7" Type="http://schemas.openxmlformats.org/officeDocument/2006/relationships/hyperlink" Target="mailto:Alberthyoung@hotmail.com" TargetMode="External"/><Relationship Id="rId7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0.pdf" TargetMode="External"/><Relationship Id="rId9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3.pdf" TargetMode="External"/><Relationship Id="rId2" Type="http://schemas.openxmlformats.org/officeDocument/2006/relationships/hyperlink" Target="mailto:martineslaurencio86@gmail.com" TargetMode="External"/><Relationship Id="rId2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6.pdf" TargetMode="External"/><Relationship Id="rId24" Type="http://schemas.openxmlformats.org/officeDocument/2006/relationships/hyperlink" Target="mailto:PROVIMEDICASDQ@GMAIL.COM" TargetMode="External"/><Relationship Id="rId40" Type="http://schemas.openxmlformats.org/officeDocument/2006/relationships/hyperlink" Target="mailto:jcueto00011@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lianilreynoso84@gmail.com" TargetMode="External"/><Relationship Id="rId11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4.pdf" TargetMode="External"/><Relationship Id="rId11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8.pdf" TargetMode="External"/><Relationship Id="rId13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8.pdf" TargetMode="External"/><Relationship Id="rId6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12.pdf" TargetMode="External"/><Relationship Id="rId8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PISO%2011\Q15.pdf" TargetMode="External"/><Relationship Id="rId1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1.msg" TargetMode="External"/><Relationship Id="rId1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2.pdf" TargetMode="External"/><Relationship Id="rId30" Type="http://schemas.openxmlformats.org/officeDocument/2006/relationships/hyperlink" Target="mailto:juancarlos@padronoffice.com" TargetMode="External"/><Relationship Id="rId3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6.pdf" TargetMode="External"/><Relationship Id="rId100" Type="http://schemas.openxmlformats.org/officeDocument/2006/relationships/hyperlink" Target="mailto:mendezrosmery12@gmail.com" TargetMode="External"/><Relationship Id="rId105" Type="http://schemas.openxmlformats.org/officeDocument/2006/relationships/hyperlink" Target="mailto:rafirey59@hotmail.com" TargetMode="External"/><Relationship Id="rId12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Local%20Caonabo\Q18.pdf" TargetMode="External"/><Relationship Id="rId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1.pdf" TargetMode="External"/><Relationship Id="rId5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2.pdf" TargetMode="External"/><Relationship Id="rId72" Type="http://schemas.openxmlformats.org/officeDocument/2006/relationships/hyperlink" Target="mailto:SCARLETG2038@gmail.com" TargetMode="External"/><Relationship Id="rId93" Type="http://schemas.openxmlformats.org/officeDocument/2006/relationships/hyperlink" Target="mailto:suleidyrosario08@gmail.com" TargetMode="External"/><Relationship Id="rId98" Type="http://schemas.openxmlformats.org/officeDocument/2006/relationships/hyperlink" Target="mailto:infooliverroosevelt@gmail.com" TargetMode="External"/><Relationship Id="rId12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3.pdf" TargetMode="External"/><Relationship Id="rId3" Type="http://schemas.openxmlformats.org/officeDocument/2006/relationships/hyperlink" Target="mailto:gonzalesguillian@g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9.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mailto:francis.plasencia@gmail.com" TargetMode="External"/><Relationship Id="rId88" Type="http://schemas.openxmlformats.org/officeDocument/2006/relationships/hyperlink" Target="mailto:escuelaprimarialacienaga@hotmail.com" TargetMode="External"/><Relationship Id="rId11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5.pdf" TargetMode="External"/><Relationship Id="rId13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9.pdf" TargetMode="External"/><Relationship Id="rId1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PISO%2011" TargetMode="External"/><Relationship Id="rId12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7.pdf" TargetMode="External"/><Relationship Id="rId1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6.pdf" TargetMode="External"/><Relationship Id="rId3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mailto:maria.molinab@minerd.gob.do" TargetMode="External"/><Relationship Id="rId94" Type="http://schemas.openxmlformats.org/officeDocument/2006/relationships/hyperlink" Target="mailto:yuliannyconcepcion@gmail.com" TargetMode="External"/><Relationship Id="rId99" Type="http://schemas.openxmlformats.org/officeDocument/2006/relationships/hyperlink" Target="mailto:yasmilicm@hotmail.com" TargetMode="External"/><Relationship Id="rId101" Type="http://schemas.openxmlformats.org/officeDocument/2006/relationships/hyperlink" Target="mailto:sjesurum@hotmail.com" TargetMode="External"/><Relationship Id="rId12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4.pdf" TargetMode="External"/><Relationship Id="rId4" Type="http://schemas.openxmlformats.org/officeDocument/2006/relationships/hyperlink" Target="mailto:marinfante42@yahoo.com" TargetMode="External"/><Relationship Id="rId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1.pdf" TargetMode="External"/><Relationship Id="rId26" Type="http://schemas.openxmlformats.org/officeDocument/2006/relationships/hyperlink" Target="mailto:arelis.garcia@minerd.gob.do" TargetMode="External"/><Relationship Id="rId47" Type="http://schemas.openxmlformats.org/officeDocument/2006/relationships/hyperlink" Target="mailto:licda.mcollado@hotmail.com" TargetMode="External"/><Relationship Id="rId6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3.msg" TargetMode="External"/><Relationship Id="rId8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1.pdf" TargetMode="External"/><Relationship Id="rId11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6.pdf" TargetMode="External"/><Relationship Id="rId13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wwserver\Deparment\Planificacion_Y_Desarrollo\Comun\1.%20Direccion%20Planificacion%20y%20Desarrollo\1.3%20Divisi&#243;n%20de%20Gesti&#243;n%20en%20la%20Calidad\AppData\Roaming\Microsoft\Excel\2.%20Acciones%20Correctivas\9.%20Septiembre\Respuesta%20R06.pdf" TargetMode="External"/><Relationship Id="rId13" Type="http://schemas.openxmlformats.org/officeDocument/2006/relationships/hyperlink" Target="file:///\\wwserver\Deparment\Planificacion_Y_Desarrollo\Comun\1.%20Direccion%20Planificacion%20y%20Desarrollo\1.3%20Divisi&#243;n%20de%20Gesti&#243;n%20en%20la%20Calidad\AppData\Roaming\Microsoft\Excel\2.%20Acciones%20Correctivas\9.%20Septiembre\Respuesta%20R08.msg" TargetMode="External"/><Relationship Id="rId18" Type="http://schemas.openxmlformats.org/officeDocument/2006/relationships/hyperlink" Target="file:///\\wwserver\Deparment\Planificacion_Y_Desarrollo\Comun\1.%20Direccion%20Planificacion%20y%20Desarrollo\1.3%20Divisi&#243;n%20de%20Gesti&#243;n%20en%20la%20Calidad\AppData\Roaming\Microsoft\Excel\2.%20Acciones%20Correctivas\10.%20Octubre\R15" TargetMode="External"/><Relationship Id="rId26" Type="http://schemas.openxmlformats.org/officeDocument/2006/relationships/hyperlink" Target="file:///\\wwserver\Deparment\Planificacion_Y_Desarrollo\Comun\1.%20Direccion%20Planificacion%20y%20Desarrollo\1.3%20Divisi&#243;n%20de%20Gesti&#243;n%20en%20la%20Calidad\AppData\Roaming\Microsoft\Excel\QRS\R26\Notificaci&#243;n%20Contralor&#237;a%20%20Respuesta%20a%20reclamaci&#243;n%20c&#243;digo%2026.msg" TargetMode="External"/><Relationship Id="rId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2.pdf" TargetMode="External"/><Relationship Id="rId21" Type="http://schemas.openxmlformats.org/officeDocument/2006/relationships/hyperlink" Target="file:///\\wwserver\Deparment\Planificacion_Y_Desarrollo\Comun\1.%20Direccion%20Planificacion%20y%20Desarrollo\1.3%20Divisi&#243;n%20de%20Gesti&#243;n%20en%20la%20Calidad\AppData\Roaming\Microsoft\Excel\2.%20Acciones%20Correctivas\11.%20Noviembre\R19\Respuesta%20R19.msg" TargetMode="External"/><Relationship Id="rId7" Type="http://schemas.openxmlformats.org/officeDocument/2006/relationships/hyperlink" Target="file:///\\wwserver\Deparment\Planificacion_Y_Desarrollo\Comun\1.%20Direccion%20Planificacion%20y%20Desarrollo\1.3%20Divisi&#243;n%20de%20Gesti&#243;n%20en%20la%20Calidad\AppData\Roaming\Microsoft\Excel\2.%20Acciones%20Correctivas\8.%20Agosto\Acci&#243;n%20Correctiva%20Q06.pdf" TargetMode="External"/><Relationship Id="rId12" Type="http://schemas.openxmlformats.org/officeDocument/2006/relationships/hyperlink" Target="file:///\\wwserver\Deparment\Planificacion_Y_Desarrollo\Comun\1.%20Direccion%20Planificacion%20y%20Desarrollo\1.3%20Divisi&#243;n%20de%20Gesti&#243;n%20en%20la%20Calidad\AppData\Roaming\Microsoft\Excel\2.%20Acciones%20Correctivas\9.%20Septiembre\Acci&#243;n%20Correctiva%20Q09.pdf" TargetMode="External"/><Relationship Id="rId17" Type="http://schemas.openxmlformats.org/officeDocument/2006/relationships/hyperlink" Target="file:///\\wwserver\Deparment\Planificacion_Y_Desarrollo\Comun\1.%20Direccion%20Planificacion%20y%20Desarrollo\1.3%20Divisi&#243;n%20de%20Gesti&#243;n%20en%20la%20Calidad\AppData\Roaming\Microsoft\Excel\2.%20Acciones%20Correctivas\10.%20Octubre\R16" TargetMode="External"/><Relationship Id="rId25" Type="http://schemas.openxmlformats.org/officeDocument/2006/relationships/hyperlink" Target="file:///\\wwserver\Deparment\Planificacion_Y_Desarrollo\Comun\1.%20Direccion%20Planificacion%20y%20Desarrollo\1.3%20Divisi&#243;n%20de%20Gesti&#243;n%20en%20la%20Calidad\AppData\Roaming\Microsoft\Excel\2.%20Acciones%20Correctivas\11.%20Noviembre\R25\Respuesta%20R25.msg" TargetMode="External"/><Relationship Id="rId2" Type="http://schemas.openxmlformats.org/officeDocument/2006/relationships/hyperlink" Target="file:///\\wwserver\Deparment\Planificacion_Y_Desarrollo\Comun\1.%20Direccion%20Planificacion%20y%20Desarrollo\1.3%20Divisi&#243;n%20de%20Gesti&#243;n%20en%20la%20Calidad\AppData\Roaming\Microsoft\Excel\2.%20Acciones%20Correctivas\8.%20Agosto" TargetMode="External"/><Relationship Id="rId16" Type="http://schemas.openxmlformats.org/officeDocument/2006/relationships/hyperlink" Target="file:///\\wwserver\Deparment\Planificacion_Y_Desarrollo\Comun\1.%20Direccion%20Planificacion%20y%20Desarrollo\1.3%20Divisi&#243;n%20de%20Gesti&#243;n%20en%20la%20Calidad\AppData\Roaming\Microsoft\Excel\2.%20Acciones%20Correctivas\10.%20Octubre\Q11\Respuesta%20%20Q11.msg" TargetMode="External"/><Relationship Id="rId20" Type="http://schemas.openxmlformats.org/officeDocument/2006/relationships/hyperlink" Target="file:///\\wwserver\Deparment\Planificacion_Y_Desarrollo\Comun\1.%20Direccion%20Planificacion%20y%20Desarrollo\1.3%20Divisi&#243;n%20de%20Gesti&#243;n%20en%20la%20Calidad\AppData\Roaming\Microsoft\Excel\2.%20Acciones%20Correctivas\10.%20Octubre\R14\Respuesta%20R14.msg" TargetMode="External"/><Relationship Id="rId29" Type="http://schemas.openxmlformats.org/officeDocument/2006/relationships/hyperlink" Target="file:///\\wwserver\Deparment\Planificacion_Y_Desarrollo\Comun\1.%20Direccion%20Planificacion%20y%20Desarrollo\1.3%20Divisi&#243;n%20de%20Gesti&#243;n%20en%20la%20Calidad\AppData\Roaming\Microsoft\Excel\QRS\Q15\Q15%20acci&#243;n%20correctivas.pdf" TargetMode="External"/><Relationship Id="rId1" Type="http://schemas.openxmlformats.org/officeDocument/2006/relationships/hyperlink" Target="file:///\\wwserver\Deparment\Planificacion_Y_Desarrollo\Comun\1.%20Direccion%20Planificacion%20y%20Desarrollo\1.3%20Divisi&#243;n%20de%20Gesti&#243;n%20en%20la%20Calidad\AppData\Roaming\Microsoft\Excel\2.%20Acciones%20Correctivas\8.%20Agosto" TargetMode="External"/><Relationship Id="rId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3.pdf" TargetMode="External"/><Relationship Id="rId11" Type="http://schemas.openxmlformats.org/officeDocument/2006/relationships/hyperlink" Target="file:///\\wwserver\Deparment\Planificacion_Y_Desarrollo\Comun\1.%20Direccion%20Planificacion%20y%20Desarrollo\1.3%20Divisi&#243;n%20de%20Gesti&#243;n%20en%20la%20Calidad\AppData\Roaming\Microsoft\Excel\2.%20Acciones%20Correctivas\9.%20Septiembre\Q07.msg" TargetMode="External"/><Relationship Id="rId24" Type="http://schemas.openxmlformats.org/officeDocument/2006/relationships/hyperlink" Target="file:///\\wwserver\Deparment\Planificacion_Y_Desarrollo\Comun\1.%20Direccion%20Planificacion%20y%20Desarrollo\1.3%20Divisi&#243;n%20de%20Gesti&#243;n%20en%20la%20Calidad\AppData\Roaming\Microsoft\Excel\2.%20Acciones%20Correctivas\11.%20Noviembre\R24\Respuesta%20R24.msg" TargetMode="External"/><Relationship Id="rId32" Type="http://schemas.openxmlformats.org/officeDocument/2006/relationships/drawing" Target="../drawings/drawing2.xml"/><Relationship Id="rId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3.pdf" TargetMode="External"/><Relationship Id="rId15" Type="http://schemas.openxmlformats.org/officeDocument/2006/relationships/hyperlink" Target="file:///\\wwserver\Deparment\Planificacion_Y_Desarrollo\Comun\1.%20Direccion%20Planificacion%20y%20Desarrollo\1.3%20Divisi&#243;n%20de%20Gesti&#243;n%20en%20la%20Calidad\AppData\Roaming\Microsoft\Excel\2.%20Acciones%20Correctivas\10.%20Octubre\Respuesta%20a%20Reclamaci&#243;n%20c&#243;digo%2011.msg" TargetMode="External"/><Relationship Id="rId23" Type="http://schemas.openxmlformats.org/officeDocument/2006/relationships/hyperlink" Target="file:///\\wwserver\Deparment\Planificacion_Y_Desarrollo\Comun\1.%20Direccion%20Planificacion%20y%20Desarrollo\1.3%20Divisi&#243;n%20de%20Gesti&#243;n%20en%20la%20Calidad\AppData\Roaming\Microsoft\Excel\2.%20Acciones%20Correctivas\11.%20Noviembre\R22\Respuesta%20R22.msg" TargetMode="External"/><Relationship Id="rId28" Type="http://schemas.openxmlformats.org/officeDocument/2006/relationships/hyperlink" Target="file:///\\wwserver\Deparment\Planificacion_Y_Desarrollo\Comun\1.%20Direccion%20Planificacion%20y%20Desarrollo\1.3%20Divisi&#243;n%20de%20Gesti&#243;n%20en%20la%20Calidad\AppData\Roaming\Microsoft\Excel\QRS\R27\Respuesta%20R27.msg" TargetMode="External"/><Relationship Id="rId10" Type="http://schemas.openxmlformats.org/officeDocument/2006/relationships/hyperlink" Target="file:///\\wwserver\Deparment\Planificacion_Y_Desarrollo\Comun\1.%20Direccion%20Planificacion%20y%20Desarrollo\1.3%20Divisi&#243;n%20de%20Gesti&#243;n%20en%20la%20Calidad\AppData\Roaming\Microsoft\Excel\2.%20Acciones%20Correctivas\9.%20Septiembre\Respuesta%20R05.pdf" TargetMode="External"/><Relationship Id="rId19" Type="http://schemas.openxmlformats.org/officeDocument/2006/relationships/hyperlink" Target="file:///\\wwserver\Deparment\Planificacion_Y_Desarrollo\Comun\1.%20Direccion%20Planificacion%20y%20Desarrollo\1.3%20Divisi&#243;n%20de%20Gesti&#243;n%20en%20la%20Calidad\AppData\Roaming\Microsoft\Excel\2.%20Acciones%20Correctivas\11.%20Noviembre\R18\Respuesta%20R18.msg" TargetMode="External"/><Relationship Id="rId31" Type="http://schemas.openxmlformats.org/officeDocument/2006/relationships/printerSettings" Target="../printerSettings/printerSettings2.bin"/><Relationship Id="rId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3.pdf" TargetMode="External"/><Relationship Id="rId14" Type="http://schemas.openxmlformats.org/officeDocument/2006/relationships/hyperlink" Target="file:///\\wwserver\Deparment\Planificacion_Y_Desarrollo\Comun\1.%20Direccion%20Planificacion%20y%20Desarrollo\1.3%20Divisi&#243;n%20de%20Gesti&#243;n%20en%20la%20Calidad\AppData\Roaming\Microsoft\Excel\2.%20Acciones%20Correctivas\9.%20Septiembre\Mensaje%20R09.msg" TargetMode="External"/><Relationship Id="rId22" Type="http://schemas.openxmlformats.org/officeDocument/2006/relationships/hyperlink" Target="file:///\\wwserver\Deparment\Planificacion_Y_Desarrollo\Comun\1.%20Direccion%20Planificacion%20y%20Desarrollo\1.3%20Divisi&#243;n%20de%20Gesti&#243;n%20en%20la%20Calidad\AppData\Roaming\Microsoft\Excel\2.%20Acciones%20Correctivas\11.%20Noviembre\R21\Respuesta%20R21.msg" TargetMode="External"/><Relationship Id="rId27" Type="http://schemas.openxmlformats.org/officeDocument/2006/relationships/hyperlink" Target="file:///\\wwserver\Deparment\Planificacion_Y_Desarrollo\Comun\1.%20Direccion%20Planificacion%20y%20Desarrollo\1.3%20Divisi&#243;n%20de%20Gesti&#243;n%20en%20la%20Calidad\AppData\Roaming\Microsoft\Excel\QRS\Q14\Q14%20acci&#243;n%20correctiva.pdf" TargetMode="External"/><Relationship Id="rId30" Type="http://schemas.openxmlformats.org/officeDocument/2006/relationships/hyperlink" Target="file:///\\wwserver\Deparment\Planificacion_Y_Desarrollo\Comun\1.%20Direccion%20Planificacion%20y%20Desarrollo\1.3%20Divisi&#243;n%20de%20Gesti&#243;n%20en%20la%20Calidad\AppData\Roaming\Microsoft\Excel\QRS\Q12\Q12%20Acci&#243;n%20Correctiva.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1.pdf" TargetMode="External"/><Relationship Id="rId2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07.pdf" TargetMode="External"/><Relationship Id="rId42" Type="http://schemas.openxmlformats.org/officeDocument/2006/relationships/hyperlink" Target="mailto:jior013@hotmail.com" TargetMode="External"/><Relationship Id="rId6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9.pdf" TargetMode="External"/><Relationship Id="rId84" Type="http://schemas.openxmlformats.org/officeDocument/2006/relationships/hyperlink" Target="mailto:bautistanarci@gmail.com" TargetMode="External"/><Relationship Id="rId138" Type="http://schemas.openxmlformats.org/officeDocument/2006/relationships/hyperlink" Target="mailto:nurysjabreu@hotmail.com" TargetMode="External"/><Relationship Id="rId15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60.pdf" TargetMode="External"/><Relationship Id="rId17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64.pdf" TargetMode="External"/><Relationship Id="rId107" Type="http://schemas.openxmlformats.org/officeDocument/2006/relationships/hyperlink" Target="mailto:eaquino@idiaf.gov.do" TargetMode="External"/><Relationship Id="rId1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4.pdf" TargetMode="External"/><Relationship Id="rId3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8.pdf" TargetMode="External"/><Relationship Id="rId5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6.pdf" TargetMode="External"/><Relationship Id="rId7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5.pdf" TargetMode="External"/><Relationship Id="rId128" Type="http://schemas.openxmlformats.org/officeDocument/2006/relationships/hyperlink" Target="mailto:dra.abreu08@gmail.com" TargetMode="External"/><Relationship Id="rId14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SUGERENCIA%20311-6.pdf" TargetMode="External"/><Relationship Id="rId5" Type="http://schemas.openxmlformats.org/officeDocument/2006/relationships/hyperlink" Target="mailto:omarreyesramirez@gmail.com" TargetMode="External"/><Relationship Id="rId95" Type="http://schemas.openxmlformats.org/officeDocument/2006/relationships/hyperlink" Target="mailto:infooliverroosevelt@gmail.com" TargetMode="External"/><Relationship Id="rId16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9.pdf" TargetMode="External"/><Relationship Id="rId181" Type="http://schemas.openxmlformats.org/officeDocument/2006/relationships/hyperlink" Target="mailto:alcibiadesmena@gmail.com" TargetMode="External"/><Relationship Id="rId22" Type="http://schemas.openxmlformats.org/officeDocument/2006/relationships/hyperlink" Target="mailto:luisramonantoniorodriguez@gmail.com" TargetMode="External"/><Relationship Id="rId4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1.pdf" TargetMode="External"/><Relationship Id="rId64" Type="http://schemas.openxmlformats.org/officeDocument/2006/relationships/hyperlink" Target="mailto:leonardogm778@gmail.com" TargetMode="External"/><Relationship Id="rId11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3.pdf" TargetMode="External"/><Relationship Id="rId13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1.pdf" TargetMode="External"/><Relationship Id="rId8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9.pdf" TargetMode="External"/><Relationship Id="rId15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SUGERENCIA%20311-7.pdf" TargetMode="External"/><Relationship Id="rId171" Type="http://schemas.openxmlformats.org/officeDocument/2006/relationships/hyperlink" Target="mailto:subdireccionpecuarialavega@hotmail.com" TargetMode="External"/><Relationship Id="rId1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3.pdf" TargetMode="External"/><Relationship Id="rId3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9.pdf" TargetMode="External"/><Relationship Id="rId108" Type="http://schemas.openxmlformats.org/officeDocument/2006/relationships/hyperlink" Target="mailto:nurysjabreu@hotmail.com" TargetMode="External"/><Relationship Id="rId129" Type="http://schemas.openxmlformats.org/officeDocument/2006/relationships/hyperlink" Target="mailto:dra.abreu08@gmail.com" TargetMode="External"/><Relationship Id="rId5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0.pdf" TargetMode="External"/><Relationship Id="rId75" Type="http://schemas.openxmlformats.org/officeDocument/2006/relationships/hyperlink" Target="mailto:menamike@hotmail.com" TargetMode="External"/><Relationship Id="rId96" Type="http://schemas.openxmlformats.org/officeDocument/2006/relationships/hyperlink" Target="mailto:elisamariott@gmail.com" TargetMode="External"/><Relationship Id="rId14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0.msg" TargetMode="External"/><Relationship Id="rId161" Type="http://schemas.openxmlformats.org/officeDocument/2006/relationships/hyperlink" Target="mailto:lucianodeleon67@gmail.com" TargetMode="External"/><Relationship Id="rId182" Type="http://schemas.openxmlformats.org/officeDocument/2006/relationships/printerSettings" Target="../printerSettings/printerSettings3.bin"/><Relationship Id="rId6" Type="http://schemas.openxmlformats.org/officeDocument/2006/relationships/hyperlink" Target="mailto:omarreyesramirez@gmail.com" TargetMode="External"/><Relationship Id="rId2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3.pdf" TargetMode="External"/><Relationship Id="rId11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2.pdf" TargetMode="External"/><Relationship Id="rId44" Type="http://schemas.openxmlformats.org/officeDocument/2006/relationships/hyperlink" Target="mailto:duclerisrubio@hotmail.com" TargetMode="External"/><Relationship Id="rId60" Type="http://schemas.openxmlformats.org/officeDocument/2006/relationships/hyperlink" Target="mailto:marinfante42@yahoo.com" TargetMode="External"/><Relationship Id="rId65" Type="http://schemas.openxmlformats.org/officeDocument/2006/relationships/hyperlink" Target="mailto:cuevascorides@outlook.com" TargetMode="External"/><Relationship Id="rId8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15.pdf" TargetMode="External"/><Relationship Id="rId86" Type="http://schemas.openxmlformats.org/officeDocument/2006/relationships/hyperlink" Target="mailto:Elianilreynoso84@gmail.com" TargetMode="External"/><Relationship Id="rId13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8.pdf" TargetMode="External"/><Relationship Id="rId13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4.pdf" TargetMode="External"/><Relationship Id="rId15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SUGERENCIA%20311-5.pdf" TargetMode="External"/><Relationship Id="rId15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Correo%20Electr&#243;nico\R57.msg" TargetMode="External"/><Relationship Id="rId177" Type="http://schemas.openxmlformats.org/officeDocument/2006/relationships/hyperlink" Target="file:///\\wwserver\Deparment\Planificacion_Y_Desarrollo\Comun\1.%20Direccion%20Planificacion%20y%20Desarrollo\1.3%20Divisi&#243;n%20de%20Gesti&#243;n%20en%20la%20Calidad\19.%20GESTION%20DE%20QUEJAS%20Y%20SUGERENCIA\3.%20Quejas,%20Sugerencia%20y%20Reclamaciones\Buz&#243;n\Buz&#243;n%20WEB\S05.pdf" TargetMode="External"/><Relationship Id="rId17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64.pdf" TargetMode="External"/><Relationship Id="rId1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1.pdf" TargetMode="External"/><Relationship Id="rId1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2.pdf" TargetMode="External"/><Relationship Id="rId3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9.pdf" TargetMode="External"/><Relationship Id="rId10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4.pdf" TargetMode="External"/><Relationship Id="rId34" Type="http://schemas.openxmlformats.org/officeDocument/2006/relationships/hyperlink" Target="mailto:anaestevezvelasquez@hotmail.com" TargetMode="External"/><Relationship Id="rId5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3.pdf" TargetMode="External"/><Relationship Id="rId5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1.msg" TargetMode="External"/><Relationship Id="rId7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6.pdf" TargetMode="External"/><Relationship Id="rId97" Type="http://schemas.openxmlformats.org/officeDocument/2006/relationships/hyperlink" Target="mailto:infooliverroosevelt@gmail.com" TargetMode="External"/><Relationship Id="rId104" Type="http://schemas.openxmlformats.org/officeDocument/2006/relationships/hyperlink" Target="mailto:rafirey59@hotmail.com" TargetMode="External"/><Relationship Id="rId12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3.pdf" TargetMode="External"/><Relationship Id="rId12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Local%20Caonabo\Q18.pdf" TargetMode="External"/><Relationship Id="rId141" Type="http://schemas.openxmlformats.org/officeDocument/2006/relationships/hyperlink" Target="mailto:ortizescarlen1726@gmail.com" TargetMode="External"/><Relationship Id="rId146" Type="http://schemas.openxmlformats.org/officeDocument/2006/relationships/hyperlink" Target="mailto:mariestela77alcala@gmail.com" TargetMode="External"/><Relationship Id="rId167" Type="http://schemas.openxmlformats.org/officeDocument/2006/relationships/hyperlink" Target="mailto:ferminhernandez1277@gmail.com" TargetMode="External"/><Relationship Id="rId7" Type="http://schemas.openxmlformats.org/officeDocument/2006/relationships/hyperlink" Target="mailto:Alberthyoung@hotmail.com" TargetMode="External"/><Relationship Id="rId7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0.pdf" TargetMode="External"/><Relationship Id="rId92" Type="http://schemas.openxmlformats.org/officeDocument/2006/relationships/hyperlink" Target="mailto:suleidyrosario08@gmail.com" TargetMode="External"/><Relationship Id="rId162" Type="http://schemas.openxmlformats.org/officeDocument/2006/relationships/hyperlink" Target="mailto:lucianodeleon67@gmail.com" TargetMode="External"/><Relationship Id="rId183" Type="http://schemas.openxmlformats.org/officeDocument/2006/relationships/drawing" Target="../drawings/drawing3.xml"/><Relationship Id="rId2" Type="http://schemas.openxmlformats.org/officeDocument/2006/relationships/hyperlink" Target="mailto:martineslaurencio86@gmail.com" TargetMode="External"/><Relationship Id="rId2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6.pdf" TargetMode="External"/><Relationship Id="rId24" Type="http://schemas.openxmlformats.org/officeDocument/2006/relationships/hyperlink" Target="mailto:PROVIMEDICASDQ@GMAIL.COM" TargetMode="External"/><Relationship Id="rId40" Type="http://schemas.openxmlformats.org/officeDocument/2006/relationships/hyperlink" Target="mailto:jcueto00011@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scuelaprimarialacienaga@hotmail.com" TargetMode="External"/><Relationship Id="rId11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5.pdf" TargetMode="External"/><Relationship Id="rId11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9.pdf" TargetMode="External"/><Relationship Id="rId13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9.pdf" TargetMode="External"/><Relationship Id="rId136" Type="http://schemas.openxmlformats.org/officeDocument/2006/relationships/hyperlink" Target="mailto:taxationandfinancedepartament@outlook.es" TargetMode="External"/><Relationship Id="rId157" Type="http://schemas.openxmlformats.org/officeDocument/2006/relationships/hyperlink" Target="mailto:gracialourdesguerrerofeliz@gmail.com" TargetMode="External"/><Relationship Id="rId178" Type="http://schemas.openxmlformats.org/officeDocument/2006/relationships/hyperlink" Target="file:///\\wwserver\Deparment\Planificacion_Y_Desarrollo\Comun\1.%20Direccion%20Planificacion%20y%20Desarrollo\1.3%20Divisi&#243;n%20de%20Gesti&#243;n%20en%20la%20Calidad\19.%20GESTION%20DE%20QUEJAS%20Y%20SUGERENCIA\3.%20Quejas,%20Sugerencia%20y%20Reclamaciones\Buz&#243;n\Buz&#243;n%20WEB\R69.pdf" TargetMode="External"/><Relationship Id="rId6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12.pdf" TargetMode="External"/><Relationship Id="rId82" Type="http://schemas.openxmlformats.org/officeDocument/2006/relationships/hyperlink" Target="mailto:francis.plasencia@gmail.com" TargetMode="External"/><Relationship Id="rId152" Type="http://schemas.openxmlformats.org/officeDocument/2006/relationships/hyperlink" Target="mailto:marlenmendezsalcedo@gmail.com" TargetMode="External"/><Relationship Id="rId173" Type="http://schemas.openxmlformats.org/officeDocument/2006/relationships/hyperlink" Target="mailto:nmartinez@ganaderia.gob.do" TargetMode="External"/><Relationship Id="rId1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1.msg" TargetMode="External"/><Relationship Id="rId1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2.pdf" TargetMode="External"/><Relationship Id="rId30" Type="http://schemas.openxmlformats.org/officeDocument/2006/relationships/hyperlink" Target="mailto:juancarlos@padronoffice.com" TargetMode="External"/><Relationship Id="rId3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mailto:maria.molinab@minerd.gob.do" TargetMode="External"/><Relationship Id="rId100" Type="http://schemas.openxmlformats.org/officeDocument/2006/relationships/hyperlink" Target="mailto:sjesurum@hotmail.com" TargetMode="External"/><Relationship Id="rId10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PISO%2011" TargetMode="External"/><Relationship Id="rId12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7.pdf" TargetMode="External"/><Relationship Id="rId14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4.pdf" TargetMode="External"/><Relationship Id="rId16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63.msg" TargetMode="External"/><Relationship Id="rId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1.pdf" TargetMode="External"/><Relationship Id="rId5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2.pdf" TargetMode="External"/><Relationship Id="rId72" Type="http://schemas.openxmlformats.org/officeDocument/2006/relationships/hyperlink" Target="mailto:SCARLETG2038@gmail.com" TargetMode="External"/><Relationship Id="rId93" Type="http://schemas.openxmlformats.org/officeDocument/2006/relationships/hyperlink" Target="mailto:yuliannyconcepcion@gmail.com" TargetMode="External"/><Relationship Id="rId98" Type="http://schemas.openxmlformats.org/officeDocument/2006/relationships/hyperlink" Target="mailto:yasmilicm@hotmail.com" TargetMode="External"/><Relationship Id="rId12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4.pdf" TargetMode="External"/><Relationship Id="rId142" Type="http://schemas.openxmlformats.org/officeDocument/2006/relationships/hyperlink" Target="mailto:ingridydelarosamalena@gmail.com" TargetMode="External"/><Relationship Id="rId163" Type="http://schemas.openxmlformats.org/officeDocument/2006/relationships/hyperlink" Target="mailto:iestrelladisla@gmail.com" TargetMode="External"/><Relationship Id="rId184" Type="http://schemas.openxmlformats.org/officeDocument/2006/relationships/table" Target="../tables/table1.xml"/><Relationship Id="rId3" Type="http://schemas.openxmlformats.org/officeDocument/2006/relationships/hyperlink" Target="mailto:gonzalesguillian@g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0.pdf" TargetMode="External"/><Relationship Id="rId137" Type="http://schemas.openxmlformats.org/officeDocument/2006/relationships/hyperlink" Target="mailto:jullietts32@gmail.com" TargetMode="External"/><Relationship Id="rId15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8.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8.pdf" TargetMode="External"/><Relationship Id="rId8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1.pdf" TargetMode="External"/><Relationship Id="rId11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6.pdf" TargetMode="External"/><Relationship Id="rId13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2.pdf" TargetMode="External"/><Relationship Id="rId153" Type="http://schemas.openxmlformats.org/officeDocument/2006/relationships/hyperlink" Target="mailto:kmel3929f@gmail.com" TargetMode="External"/><Relationship Id="rId174" Type="http://schemas.openxmlformats.org/officeDocument/2006/relationships/hyperlink" Target="file:///\\wwserver\Deparment\Planificacion_Y_Desarrollo\Comun\1.%20Direccion%20Planificacion%20y%20Desarrollo\1.3%20Divisi&#243;n%20de%20Gesti&#243;n%20en%20la%20Calidad\19.%20GESTION%20DE%20QUEJAS%20Y%20SUGERENCIA\3.%20Quejas,%20Sugerencia%20y%20Reclamaciones\Buz&#243;n\Buz&#243;n%20WEB\R66.pdf" TargetMode="External"/><Relationship Id="rId179" Type="http://schemas.openxmlformats.org/officeDocument/2006/relationships/hyperlink" Target="mailto:prkhouri@sistec.com.do" TargetMode="External"/><Relationship Id="rId1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mailto:loliya7@hotmail.com" TargetMode="External"/><Relationship Id="rId12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0.pdf" TargetMode="External"/><Relationship Id="rId1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06.pdf" TargetMode="External"/><Relationship Id="rId3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7.msg" TargetMode="External"/><Relationship Id="rId94" Type="http://schemas.openxmlformats.org/officeDocument/2006/relationships/hyperlink" Target="mailto:mariaidaliaguerrero@gmail.com" TargetMode="External"/><Relationship Id="rId99" Type="http://schemas.openxmlformats.org/officeDocument/2006/relationships/hyperlink" Target="mailto:mendezrosmery12@gmail.com" TargetMode="External"/><Relationship Id="rId101" Type="http://schemas.openxmlformats.org/officeDocument/2006/relationships/hyperlink" Target="mailto:nurysjabreu@hotmail.com" TargetMode="External"/><Relationship Id="rId12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S04.pdf" TargetMode="External"/><Relationship Id="rId14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Local%20Caonabo\Q20.pdf" TargetMode="External"/><Relationship Id="rId14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3.pdf" TargetMode="External"/><Relationship Id="rId16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60.pdf" TargetMode="External"/><Relationship Id="rId169" Type="http://schemas.openxmlformats.org/officeDocument/2006/relationships/hyperlink" Target="mailto:ardelish@gmail.com" TargetMode="External"/><Relationship Id="rId4" Type="http://schemas.openxmlformats.org/officeDocument/2006/relationships/hyperlink" Target="mailto:marinfante42@yahoo.com" TargetMode="External"/><Relationship Id="rId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1.pdf" TargetMode="External"/><Relationship Id="rId180" Type="http://schemas.openxmlformats.org/officeDocument/2006/relationships/hyperlink" Target="mailto:lauramariaupiabautista@gmail.com" TargetMode="External"/><Relationship Id="rId26" Type="http://schemas.openxmlformats.org/officeDocument/2006/relationships/hyperlink" Target="mailto:arelis.garcia@minerd.gob.do" TargetMode="External"/><Relationship Id="rId47" Type="http://schemas.openxmlformats.org/officeDocument/2006/relationships/hyperlink" Target="mailto:licda.mcollado@hotmail.com" TargetMode="External"/><Relationship Id="rId6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3.msg" TargetMode="External"/><Relationship Id="rId8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2.pdf" TargetMode="External"/><Relationship Id="rId11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6.pdf" TargetMode="External"/><Relationship Id="rId133" Type="http://schemas.openxmlformats.org/officeDocument/2006/relationships/hyperlink" Target="mailto:rmarte@intabaco.gob.do" TargetMode="External"/><Relationship Id="rId15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3.pdf" TargetMode="External"/><Relationship Id="rId175" Type="http://schemas.openxmlformats.org/officeDocument/2006/relationships/hyperlink" Target="file:///\\wwserver\Deparment\Planificacion_Y_Desarrollo\Comun\1.%20Direccion%20Planificacion%20y%20Desarrollo\1.3%20Divisi&#243;n%20de%20Gesti&#243;n%20en%20la%20Calidad\19.%20GESTION%20DE%20QUEJAS%20Y%20SUGERENCIA\3.%20Quejas,%20Sugerencia%20y%20Reclamaciones\Buz&#243;n\Buz&#243;n%20WEB\R67.pdf" TargetMode="External"/><Relationship Id="rId1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QUEJA%20311-4.pdf" TargetMode="External"/><Relationship Id="rId3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8.pdf" TargetMode="External"/><Relationship Id="rId5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7.pdf" TargetMode="External"/><Relationship Id="rId7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Q13.pdf" TargetMode="External"/><Relationship Id="rId102" Type="http://schemas.openxmlformats.org/officeDocument/2006/relationships/hyperlink" Target="mailto:nurysjabreu@hotmail.com" TargetMode="External"/><Relationship Id="rId12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5.pdf" TargetMode="External"/><Relationship Id="rId14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2.pdf" TargetMode="External"/><Relationship Id="rId90" Type="http://schemas.openxmlformats.org/officeDocument/2006/relationships/hyperlink" Target="mailto:sandraperezcarrasco@hotmail.com" TargetMode="External"/><Relationship Id="rId16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60.pdf" TargetMode="External"/><Relationship Id="rId2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4.pdf" TargetMode="External"/><Relationship Id="rId4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5.pdf" TargetMode="External"/><Relationship Id="rId6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2.pdf" TargetMode="External"/><Relationship Id="rId11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7.pdf" TargetMode="External"/><Relationship Id="rId13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19.pdf" TargetMode="External"/><Relationship Id="rId8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SEDE\Q14.pdf" TargetMode="External"/><Relationship Id="rId15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54.pdf" TargetMode="External"/><Relationship Id="rId176" Type="http://schemas.openxmlformats.org/officeDocument/2006/relationships/hyperlink" Target="file:///\\wwserver\Deparment\Planificacion_Y_Desarrollo\Comun\1.%20Direccion%20Planificacion%20y%20Desarrollo\1.3%20Divisi&#243;n%20de%20Gesti&#243;n%20en%20la%20Calidad\19.%20GESTION%20DE%20QUEJAS%20Y%20SUGERENCIA\3.%20Quejas,%20Sugerencia%20y%20Reclamaciones\Buz&#243;n\Buz&#243;n%20WEB\R68.pdf" TargetMode="External"/><Relationship Id="rId17" Type="http://schemas.openxmlformats.org/officeDocument/2006/relationships/hyperlink" Target="mailto:mlandais@contraloria.gob.do" TargetMode="External"/><Relationship Id="rId38" Type="http://schemas.openxmlformats.org/officeDocument/2006/relationships/hyperlink" Target="mailto:axramos87@gmail.com" TargetMode="External"/><Relationship Id="rId5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8.pdf" TargetMode="External"/><Relationship Id="rId103" Type="http://schemas.openxmlformats.org/officeDocument/2006/relationships/hyperlink" Target="mailto:griseidaencarnacionfeliz@gmail.com" TargetMode="External"/><Relationship Id="rId12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46.pdf" TargetMode="External"/><Relationship Id="rId7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21.pdf" TargetMode="External"/><Relationship Id="rId9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3.pdf" TargetMode="External"/><Relationship Id="rId145" Type="http://schemas.openxmlformats.org/officeDocument/2006/relationships/hyperlink" Target="mailto:franalvcas062@gmail.com" TargetMode="External"/><Relationship Id="rId166" Type="http://schemas.openxmlformats.org/officeDocument/2006/relationships/hyperlink" Target="mailto:rommelsantos09@yahoo.com" TargetMode="External"/><Relationship Id="rId1" Type="http://schemas.openxmlformats.org/officeDocument/2006/relationships/hyperlink" Target="mailto:aridiomorillo72@gmail.com" TargetMode="External"/><Relationship Id="rId2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05.pdf" TargetMode="External"/><Relationship Id="rId4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14.pdf" TargetMode="External"/><Relationship Id="rId11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Buz&#243;n\Buz&#243;n%20WEB\R38.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2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84"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89" Type="http://schemas.openxmlformats.org/officeDocument/2006/relationships/hyperlink" Target="file:///\\wwserver\Deparment\Planificacion_Y_Desarrollo\Comun\1.%20Direccion%20Planificacion%20y%20Desarrollo\1.3%20Divisi&#243;n%20de%20Gesti&#243;n%20en%20la%20Calidad\19.%20GESTION%20DE%20QUEJAS%20Y%20SUGERENCIA\2.%20Acciones%20Correctivas\2023\9.%20Septiembre\R66.msg" TargetMode="External"/><Relationship Id="rId1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1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7" Type="http://schemas.openxmlformats.org/officeDocument/2006/relationships/hyperlink" Target="file:///\\wwserver\Deparment\Planificacion_Y_Desarrollo\Comun\1.%20Direccion%20Planificacion%20y%20Desarrollo\1.3%20Divisi&#243;n%20de%20Gesti&#243;n%20en%20la%20Calidad\AppData\Roaming\Microsoft\Excel\2.%20Acciones%20Correctivas\2022\11.%20Noviembre\R19\Respuesta%20R19.msg" TargetMode="External"/><Relationship Id="rId5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4"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79"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90" Type="http://schemas.openxmlformats.org/officeDocument/2006/relationships/hyperlink" Target="file:///\\wwserver\Deparment\Planificacion_Y_Desarrollo\Comun\1.%20Direccion%20Planificacion%20y%20Desarrollo\1.3%20Divisi&#243;n%20de%20Gesti&#243;n%20en%20la%20Calidad\19.%20GESTION%20DE%20QUEJAS%20Y%20SUGERENCIA\2.%20Acciones%20Correctivas\2023\9.%20Septiembre\R64%20y%20R65.msg" TargetMode="External"/><Relationship Id="rId95" Type="http://schemas.openxmlformats.org/officeDocument/2006/relationships/drawing" Target="../drawings/drawing4.xml"/><Relationship Id="rId2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2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3" Type="http://schemas.openxmlformats.org/officeDocument/2006/relationships/hyperlink" Target="file:///\\wwserver\Deparment\Planificacion_Y_Desarrollo\Comun\1.%20Direccion%20Planificacion%20y%20Desarrollo\1.3%20Divisi&#243;n%20de%20Gesti&#243;n%20en%20la%20Calidad\AppData\Roaming\Microsoft\Excel\2.%20Acciones%20Correctivas\2022\12.%20Diciembre\Q13%20AC.msg" TargetMode="External"/><Relationship Id="rId4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80"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85"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93" Type="http://schemas.openxmlformats.org/officeDocument/2006/relationships/hyperlink" Target="file:///\\wwserver\Deparment\Planificacion_Y_Desarrollo\Comun\1.%20Direccion%20Planificacion%20y%20Desarrollo\1.3%20Divisi&#243;n%20de%20Gesti&#243;n%20en%20la%20Calidad\19.%20GESTION%20DE%20QUEJAS%20Y%20SUGERENCIA\2.%20Acciones%20Correctivas\2023\9.%20Septiembre\AC%20-%20Q21.pdf" TargetMode="External"/><Relationship Id="rId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12"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1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2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3"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8"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6" Type="http://schemas.openxmlformats.org/officeDocument/2006/relationships/hyperlink" Target="file:///\\wwserver\Deparment\Planificacion_Y_Desarrollo\Comun\1.%20Direccion%20Planificacion%20y%20Desarrollo\1.3%20Divisi&#243;n%20de%20Gesti&#243;n%20en%20la%20Calidad\AppData\Roaming\Microsoft\Excel\2.%20Acciones%20Correctivas\2022\9.%20Septiembre\Acci&#243;n%20Correctiva%20Q09.pdf" TargetMode="External"/><Relationship Id="rId5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20" Type="http://schemas.openxmlformats.org/officeDocument/2006/relationships/hyperlink" Target="file:///\\wwserver\Deparment\Planificacion_Y_Desarrollo\Comun\1.%20Direccion%20Planificacion%20y%20Desarrollo\1.3%20Divisi&#243;n%20de%20Gesti&#243;n%20en%20la%20Calidad\AppData\Roaming\Microsoft\Excel\2.%20Acciones%20Correctivas\2023\5.%20Mayo\Q17%20y%2018%20AC.pdf" TargetMode="External"/><Relationship Id="rId4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2" Type="http://schemas.openxmlformats.org/officeDocument/2006/relationships/hyperlink" Target="file:///\\wwserver\Deparment\Planificacion_Y_Desarrollo\Comun\1.%20Direccion%20Planificacion%20y%20Desarrollo\1.3%20Divisi&#243;n%20de%20Gesti&#243;n%20en%20la%20Calidad\AppData\Roaming\Microsoft\Excel\2.%20Acciones%20Correctivas\2022\11.%20Noviembre\R21\Respuesta%20R21.msg" TargetMode="External"/><Relationship Id="rId7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5"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3.msg" TargetMode="External"/><Relationship Id="rId83"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88" Type="http://schemas.openxmlformats.org/officeDocument/2006/relationships/hyperlink" Target="file:///\\wwserver\Deparment\Planificacion_Y_Desarrollo\Comun\1.%20Direccion%20Planificacion%20y%20Desarrollo\1.3%20Divisi&#243;n%20de%20Gesti&#243;n%20en%20la%20Calidad\19.%20GESTION%20DE%20QUEJAS%20Y%20SUGERENCIA\2.%20Acciones%20Correctivas\2023\9.%20Septiembre\AC-R67.msg" TargetMode="External"/><Relationship Id="rId91" Type="http://schemas.openxmlformats.org/officeDocument/2006/relationships/hyperlink" Target="file:///\\wwserver\Deparment\Planificacion_Y_Desarrollo\Comun\1.%20Direccion%20Planificacion%20y%20Desarrollo\1.3%20Divisi&#243;n%20de%20Gesti&#243;n%20en%20la%20Calidad\19.%20GESTION%20DE%20QUEJAS%20Y%20SUGERENCIA\2.%20Acciones%20Correctivas\2023\9.%20Septiembre\AC%20-%20S05.msg" TargetMode="External"/><Relationship Id="rId96" Type="http://schemas.openxmlformats.org/officeDocument/2006/relationships/table" Target="../tables/table2.xml"/><Relationship Id="rId1" Type="http://schemas.openxmlformats.org/officeDocument/2006/relationships/hyperlink" Target="file:///\\wwserver\Deparment\Planificacion_Y_Desarrollo\Comun\1.%20Direccion%20Planificacion%20y%20Desarrollo\1.3%20Divisi&#243;n%20de%20Gesti&#243;n%20en%20la%20Calidad\AppData\Roaming\Microsoft\Excel\2.%20Acciones%20Correctivas\2022\1.%20Enero\RESPUESTA%20311-1.pdf" TargetMode="External"/><Relationship Id="rId6" Type="http://schemas.openxmlformats.org/officeDocument/2006/relationships/hyperlink" Target="file:///\\wwserver\Deparment\Planificacion_Y_Desarrollo\Comun\1.%20Direccion%20Planificacion%20y%20Desarrollo\1.3%20Divisi&#243;n%20de%20Gesti&#243;n%20en%20la%20Calidad\AppData\Roaming\Microsoft\Excel\2.%20Acciones%20Correctivas\2022\8.%20Agosto\Acci&#243;n%20Correctiva%20Q06.pdf" TargetMode="External"/><Relationship Id="rId1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23" Type="http://schemas.openxmlformats.org/officeDocument/2006/relationships/hyperlink" Target="file:///\\wwserver\Deparment\Planificacion_Y_Desarrollo\Comun\1.%20Direccion%20Planificacion%20y%20Desarrollo\1.3%20Divisi&#243;n%20de%20Gesti&#243;n%20en%20la%20Calidad\AppData\Roaming\Microsoft\Excel\2.%20Acciones%20Correctivas\2022\12.%20Diciembre\R26%20AC.msg" TargetMode="External"/><Relationship Id="rId28" Type="http://schemas.openxmlformats.org/officeDocument/2006/relationships/hyperlink" Target="file:///\\wwserver\Deparment\Planificacion_Y_Desarrollo\Comun\1.%20Direccion%20Planificacion%20y%20Desarrollo\1.3%20Divisi&#243;n%20de%20Gesti&#243;n%20en%20la%20Calidad\AppData\Roaming\Microsoft\Excel\2.%20Acciones%20Correctivas\2022\12.%20Diciembre\R27%20AC.msg" TargetMode="External"/><Relationship Id="rId3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1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1" Type="http://schemas.openxmlformats.org/officeDocument/2006/relationships/hyperlink" Target="file:///\\wwserver\Deparment\Planificacion_Y_Desarrollo\Comun\1.%20Direccion%20Planificacion%20y%20Desarrollo\1.3%20Divisi&#243;n%20de%20Gesti&#243;n%20en%20la%20Calidad\AppData\Roaming\Microsoft\Excel\2.%20Acciones%20Correctivas\2022\9.%20Septiembre\Q10%20AC.msg" TargetMode="External"/><Relationship Id="rId4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2" Type="http://schemas.openxmlformats.org/officeDocument/2006/relationships/hyperlink" Target="file:///\\wwserver\Deparment\Planificacion_Y_Desarrollo\Comun\1.%20Direccion%20Planificacion%20y%20Desarrollo\1.3%20Divisi&#243;n%20de%20Gesti&#243;n%20en%20la%20Calidad\AppData\Roaming\Microsoft\Excel\2.%20Acciones%20Correctivas\2022\10.%20Octubre\Q12%20AC.msg" TargetMode="External"/><Relationship Id="rId60" Type="http://schemas.openxmlformats.org/officeDocument/2006/relationships/hyperlink" Target="file:///\\wwserver\Deparment\Planificacion_Y_Desarrollo\Comun\1.%20Direccion%20Planificacion%20y%20Desarrollo\1.3%20Divisi&#243;n%20de%20Gesti&#243;n%20en%20la%20Calidad\AppData\Roaming\Microsoft\Excel\2.%20Acciones%20Correctivas\2023\5.%20Mayo\R50%20AC.msg" TargetMode="External"/><Relationship Id="rId6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3" Type="http://schemas.openxmlformats.org/officeDocument/2006/relationships/hyperlink" Target="file:///\\wwserver\Deparment\Planificacion_Y_Desarrollo\Comun\1.%20Direccion%20Planificacion%20y%20Desarrollo\1.3%20Divisi&#243;n%20de%20Gesti&#243;n%20en%20la%20Calidad\AppData\Roaming\Microsoft\Excel\2.%20Acciones%20Correctivas\2023\6.%20Junio\R51.msg" TargetMode="External"/><Relationship Id="rId78"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81"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86"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94" Type="http://schemas.openxmlformats.org/officeDocument/2006/relationships/printerSettings" Target="../printerSettings/printerSettings4.bin"/><Relationship Id="rId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9" Type="http://schemas.openxmlformats.org/officeDocument/2006/relationships/hyperlink" Target="file:///\\wwserver\Deparment\Planificacion_Y_Desarrollo\Comun\1.%20Direccion%20Planificacion%20y%20Desarrollo\1.3%20Divisi&#243;n%20de%20Gesti&#243;n%20en%20la%20Calidad\AppData\Roaming\Microsoft\Excel\2.%20Acciones%20Correctivas\2022\8.%20Agosto\Q07%20AC.msg" TargetMode="External"/><Relationship Id="rId13" Type="http://schemas.openxmlformats.org/officeDocument/2006/relationships/hyperlink" Target="file:///\\wwserver\Deparment\Planificacion_Y_Desarrollo\Comun\1.%20Direccion%20Planificacion%20y%20Desarrollo\1.3%20Divisi&#243;n%20de%20Gesti&#243;n%20en%20la%20Calidad\AppData\Roaming\Microsoft\Excel\2.%20Acciones%20Correctivas\2022\11.%20Noviembre\R24\Respuesta%20R24.msg" TargetMode="External"/><Relationship Id="rId18" Type="http://schemas.openxmlformats.org/officeDocument/2006/relationships/hyperlink" Target="file:///\\wwserver\Deparment\Planificacion_Y_Desarrollo\Comun\1.%20Direccion%20Planificacion%20y%20Desarrollo\1.3%20Divisi&#243;n%20de%20Gesti&#243;n%20en%20la%20Calidad\AppData\Roaming\Microsoft\Excel\2.%20Acciones%20Correctivas\2022\11.%20Noviembre\R25\Respuesta%20R25.msg" TargetMode="External"/><Relationship Id="rId3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6"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2.msg" TargetMode="External"/><Relationship Id="rId7"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1"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92" Type="http://schemas.openxmlformats.org/officeDocument/2006/relationships/hyperlink" Target="file:///\\wwserver\Deparment\Planificacion_Y_Desarrollo\Comun\1.%20Direccion%20Planificacion%20y%20Desarrollo\1.3%20Divisi&#243;n%20de%20Gesti&#243;n%20en%20la%20Calidad\19.%20GESTION%20DE%20QUEJAS%20Y%20SUGERENCIA\2.%20Acciones%20Correctivas\2023\9.%20Septiembre\AC%20-%20R68.msg" TargetMode="External"/><Relationship Id="rId2" Type="http://schemas.openxmlformats.org/officeDocument/2006/relationships/hyperlink" Target="file:///\\wwserver\Deparment\Planificacion_Y_Desarrollo\Comun\1.%20Direccion%20Planificacion%20y%20Desarrollo\1.3%20Divisi&#243;n%20de%20Gesti&#243;n%20en%20la%20Calidad\AppData\Roaming\Microsoft\Excel\2.%20Acciones%20Correctivas\2022\4.%20Abril\RESPUESTA%20311-2.pdf" TargetMode="External"/><Relationship Id="rId2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2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0"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4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66" Type="http://schemas.openxmlformats.org/officeDocument/2006/relationships/hyperlink" Target="file:///\\wwserver\Deparment\Planificacion_Y_Desarrollo\Comun\1.%20Direccion%20Planificacion%20y%20Desarrollo\1.3%20Divisi&#243;n%20de%20Gesti&#243;n%20en%20la%20Calidad\AppData\Roaming\Microsoft\Excel\2.%20Acciones%20Correctivas\2022\11.%20Noviembre\R22\Respuesta%20R22.msg" TargetMode="External"/><Relationship Id="rId87"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61" Type="http://schemas.openxmlformats.org/officeDocument/2006/relationships/hyperlink" Target="file:///\\wwserver\Deparment\Planificacion_Y_Desarrollo\Comun\1.%20Direccion%20Planificacion%20y%20Desarrollo\1.3%20Divisi&#243;n%20de%20Gesti&#243;n%20en%20la%20Calidad\AppData\Roaming\Microsoft\Excel\2.%20Acciones%20Correctivas\2022\10.%20Octubre\Q11\Respuesta%20%20Q11.msg" TargetMode="External"/><Relationship Id="rId82"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R54.msg" TargetMode="External"/><Relationship Id="rId19"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14"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30" Type="http://schemas.openxmlformats.org/officeDocument/2006/relationships/hyperlink" Target="file:///\\wwserver\Deparment\Planificacion_Y_Desarrollo\Comun\1.%20Direccion%20Planificacion%20y%20Desarrollo\1.3%20Divisi&#243;n%20de%20Gesti&#243;n%20en%20la%20Calidad\AppData\Roaming\Microsoft\Excel\2.%20Acciones%20Correctivas\2023\5.%20Mayo\Q17%20y%2018%20AC.pdf" TargetMode="External"/><Relationship Id="rId35"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56" Type="http://schemas.openxmlformats.org/officeDocument/2006/relationships/hyperlink" Target="file:///\\wwserver\Deparment\Planificacion_Y_Desarrollo\Comun\1.%20Direccion%20Planificacion%20y%20Desarrollo\1.3%20Divisi&#243;n%20de%20Gesti&#243;n%20en%20la%20Calidad\AppData\Roaming\Microsoft\Excel\3.%20Quejas,%20Sugerencia%20y%20Reclamaciones\Linea%20311\RESPUESTA%20311-1.pdf" TargetMode="External"/><Relationship Id="rId77" Type="http://schemas.openxmlformats.org/officeDocument/2006/relationships/hyperlink" Target="file:///\\wwserver\Deparment\Planificacion_Y_Desarrollo\Comun\1.%20Direccion%20Planificacion%20y%20Desarrollo\1.3%20Divisi&#243;n%20de%20Gesti&#243;n%20en%20la%20Calidad\AppData\Roaming\Microsoft\Excel\2.%20Acciones%20Correctivas\2023\7.%20Julio\AC%20-%20Q20.pdf"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ivotTable" Target="../pivotTables/pivotTable2.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microsoft.com/office/2007/relationships/slicer" Target="../slicers/slicer1.xml"/><Relationship Id="rId5" Type="http://schemas.openxmlformats.org/officeDocument/2006/relationships/drawing" Target="../drawings/drawing6.xml"/><Relationship Id="rId4"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83"/>
  <sheetViews>
    <sheetView zoomScale="70" zoomScaleNormal="70" workbookViewId="0">
      <pane ySplit="10" topLeftCell="A11" activePane="bottomLeft" state="frozen"/>
      <selection pane="bottomLeft" activeCell="A38" sqref="A38"/>
    </sheetView>
  </sheetViews>
  <sheetFormatPr baseColWidth="10" defaultRowHeight="14.4"/>
  <cols>
    <col min="1" max="1" width="8.5546875" customWidth="1"/>
    <col min="2" max="2" width="15.5546875" bestFit="1" customWidth="1"/>
    <col min="3" max="3" width="20.33203125" style="32" customWidth="1"/>
    <col min="4" max="4" width="16.44140625" style="32" customWidth="1"/>
    <col min="5" max="5" width="41.21875" bestFit="1" customWidth="1"/>
    <col min="6" max="6" width="18.6640625" style="60" customWidth="1"/>
    <col min="7" max="7" width="38.44140625" customWidth="1"/>
    <col min="8" max="8" width="36.5546875" customWidth="1"/>
    <col min="9" max="11" width="19.33203125" customWidth="1"/>
    <col min="12" max="12" width="18.6640625" customWidth="1"/>
    <col min="13" max="13" width="13.5546875" customWidth="1"/>
    <col min="14" max="14" width="39.33203125" customWidth="1"/>
    <col min="15" max="15" width="26.88671875" style="32" customWidth="1"/>
    <col min="16" max="16" width="20.33203125" customWidth="1"/>
    <col min="17" max="17" width="15.44140625" bestFit="1" customWidth="1"/>
  </cols>
  <sheetData>
    <row r="1" spans="1:18">
      <c r="D1"/>
    </row>
    <row r="2" spans="1:18">
      <c r="A2" s="202"/>
      <c r="B2" s="202"/>
      <c r="C2" s="202"/>
      <c r="D2" s="202"/>
      <c r="E2" s="202"/>
      <c r="F2" s="202"/>
      <c r="G2" s="202"/>
      <c r="H2" s="202"/>
      <c r="I2" s="202"/>
      <c r="J2" s="202"/>
      <c r="K2" s="202"/>
      <c r="L2" s="202"/>
      <c r="M2" s="202"/>
      <c r="N2" s="202"/>
      <c r="O2" s="202"/>
    </row>
    <row r="3" spans="1:18">
      <c r="A3" s="202"/>
      <c r="B3" s="202"/>
      <c r="C3" s="202"/>
      <c r="D3" s="202"/>
      <c r="E3" s="202"/>
      <c r="F3" s="202"/>
      <c r="G3" s="202"/>
      <c r="H3" s="202"/>
      <c r="I3" s="202"/>
      <c r="J3" s="202"/>
      <c r="K3" s="202"/>
      <c r="L3" s="202"/>
      <c r="M3" s="202"/>
      <c r="N3" s="202"/>
      <c r="O3" s="202"/>
    </row>
    <row r="4" spans="1:18">
      <c r="A4" s="202"/>
      <c r="B4" s="202"/>
      <c r="C4" s="202"/>
      <c r="D4" s="202"/>
      <c r="E4" s="202"/>
      <c r="F4" s="202"/>
      <c r="G4" s="202"/>
      <c r="H4" s="202"/>
      <c r="I4" s="202"/>
      <c r="J4" s="202"/>
      <c r="K4" s="202"/>
      <c r="L4" s="202"/>
      <c r="M4" s="202"/>
      <c r="N4" s="202"/>
      <c r="O4" s="202"/>
    </row>
    <row r="5" spans="1:18">
      <c r="A5" s="202"/>
      <c r="B5" s="202"/>
      <c r="C5" s="202"/>
      <c r="D5" s="202"/>
      <c r="E5" s="202"/>
      <c r="F5" s="202"/>
      <c r="G5" s="202"/>
      <c r="H5" s="202"/>
      <c r="I5" s="202"/>
      <c r="J5" s="202"/>
      <c r="K5" s="202"/>
      <c r="L5" s="202"/>
      <c r="M5" s="202"/>
      <c r="N5" s="202"/>
      <c r="O5" s="202"/>
    </row>
    <row r="6" spans="1:18">
      <c r="A6" s="202"/>
      <c r="B6" s="202"/>
      <c r="C6" s="202"/>
      <c r="D6" s="202"/>
      <c r="E6" s="202"/>
      <c r="F6" s="202"/>
      <c r="G6" s="202"/>
      <c r="H6" s="202"/>
      <c r="I6" s="202"/>
      <c r="J6" s="202"/>
      <c r="K6" s="202"/>
      <c r="L6" s="202"/>
      <c r="M6" s="202"/>
      <c r="N6" s="202"/>
      <c r="O6" s="202"/>
    </row>
    <row r="7" spans="1:18">
      <c r="A7" s="202"/>
      <c r="B7" s="202"/>
      <c r="C7" s="202"/>
      <c r="D7" s="202"/>
      <c r="E7" s="202"/>
      <c r="F7" s="202"/>
      <c r="G7" s="202"/>
      <c r="H7" s="202"/>
      <c r="I7" s="202"/>
      <c r="J7" s="202"/>
      <c r="K7" s="202"/>
      <c r="L7" s="202"/>
      <c r="M7" s="202"/>
      <c r="N7" s="202"/>
      <c r="O7" s="202"/>
    </row>
    <row r="8" spans="1:18">
      <c r="D8"/>
    </row>
    <row r="9" spans="1:18" ht="36" customHeight="1">
      <c r="A9" s="201" t="s">
        <v>0</v>
      </c>
      <c r="B9" s="201" t="s">
        <v>28</v>
      </c>
      <c r="C9" s="201" t="s">
        <v>8</v>
      </c>
      <c r="D9" s="208" t="s">
        <v>6</v>
      </c>
      <c r="E9" s="207" t="s">
        <v>1</v>
      </c>
      <c r="F9" s="207"/>
      <c r="G9" s="207"/>
      <c r="H9" s="197" t="s">
        <v>7</v>
      </c>
      <c r="I9" s="204" t="s">
        <v>10</v>
      </c>
      <c r="J9" s="205"/>
      <c r="K9" s="205"/>
      <c r="L9" s="206"/>
      <c r="M9" s="203" t="s">
        <v>9</v>
      </c>
      <c r="N9" s="210" t="s">
        <v>5</v>
      </c>
      <c r="O9" s="197" t="s">
        <v>31</v>
      </c>
      <c r="P9" s="197" t="s">
        <v>118</v>
      </c>
      <c r="Q9" s="199" t="s">
        <v>170</v>
      </c>
      <c r="R9" s="197" t="s">
        <v>381</v>
      </c>
    </row>
    <row r="10" spans="1:18" ht="16.2">
      <c r="A10" s="201"/>
      <c r="B10" s="201"/>
      <c r="C10" s="201"/>
      <c r="D10" s="201"/>
      <c r="E10" s="3" t="s">
        <v>2</v>
      </c>
      <c r="F10" s="61" t="s">
        <v>4</v>
      </c>
      <c r="G10" s="3" t="s">
        <v>3</v>
      </c>
      <c r="H10" s="209"/>
      <c r="I10" s="5" t="s">
        <v>12</v>
      </c>
      <c r="J10" s="4" t="s">
        <v>11</v>
      </c>
      <c r="K10" s="4" t="s">
        <v>14</v>
      </c>
      <c r="L10" s="5" t="s">
        <v>13</v>
      </c>
      <c r="M10" s="203"/>
      <c r="N10" s="209"/>
      <c r="O10" s="198"/>
      <c r="P10" s="198"/>
      <c r="Q10" s="200"/>
      <c r="R10" s="198"/>
    </row>
    <row r="11" spans="1:18">
      <c r="A11" s="1">
        <f>ROW(E11)-ROW($E$10)</f>
        <v>1</v>
      </c>
      <c r="B11" s="13" t="s">
        <v>137</v>
      </c>
      <c r="C11" s="6" t="s">
        <v>24</v>
      </c>
      <c r="D11" s="16">
        <v>44579</v>
      </c>
      <c r="E11" s="13" t="s">
        <v>62</v>
      </c>
      <c r="F11" s="62" t="s">
        <v>63</v>
      </c>
      <c r="G11" s="1" t="s">
        <v>79</v>
      </c>
      <c r="H11" s="18" t="s">
        <v>39</v>
      </c>
      <c r="I11" s="6">
        <v>1</v>
      </c>
      <c r="J11" s="6">
        <v>2</v>
      </c>
      <c r="K11" s="28">
        <f t="shared" ref="K11:K42" si="0">I11*J11</f>
        <v>2</v>
      </c>
      <c r="L11" s="2" t="str">
        <f t="shared" ref="L11:L42" si="1">IF(K11=1,"Bajo",IF(K11=2,"Bajo",IF(K11=3,"Medio",IF(K11=4,"Medio",IF(K11=6,"Alto",IF(K11=9,"Alto"))))))</f>
        <v>Bajo</v>
      </c>
      <c r="M11" s="31" t="s">
        <v>61</v>
      </c>
      <c r="N11" s="18" t="s">
        <v>74</v>
      </c>
      <c r="O11" s="70" t="s">
        <v>56</v>
      </c>
      <c r="P11" s="1" t="s">
        <v>174</v>
      </c>
      <c r="Q11" s="1" t="s">
        <v>171</v>
      </c>
      <c r="R11" s="1" t="s">
        <v>382</v>
      </c>
    </row>
    <row r="12" spans="1:18">
      <c r="A12" s="1">
        <f t="shared" ref="A12:A81" si="2">ROW(E12)-ROW($E$10)</f>
        <v>2</v>
      </c>
      <c r="B12" s="9" t="s">
        <v>32</v>
      </c>
      <c r="C12" s="6" t="s">
        <v>24</v>
      </c>
      <c r="D12" s="19">
        <v>44588</v>
      </c>
      <c r="E12" s="20" t="s">
        <v>33</v>
      </c>
      <c r="F12" s="63" t="s">
        <v>34</v>
      </c>
      <c r="G12" s="21" t="s">
        <v>35</v>
      </c>
      <c r="H12" s="20" t="s">
        <v>38</v>
      </c>
      <c r="I12" s="6">
        <v>1</v>
      </c>
      <c r="J12" s="6">
        <v>2</v>
      </c>
      <c r="K12" s="28">
        <f t="shared" si="0"/>
        <v>2</v>
      </c>
      <c r="L12" s="2" t="str">
        <f t="shared" si="1"/>
        <v>Bajo</v>
      </c>
      <c r="M12" s="31" t="s">
        <v>61</v>
      </c>
      <c r="N12" s="1" t="s">
        <v>75</v>
      </c>
      <c r="O12" s="71" t="s">
        <v>32</v>
      </c>
      <c r="P12" s="1" t="s">
        <v>179</v>
      </c>
      <c r="Q12" s="1" t="s">
        <v>173</v>
      </c>
      <c r="R12" s="1" t="s">
        <v>382</v>
      </c>
    </row>
    <row r="13" spans="1:18">
      <c r="A13" s="1">
        <f t="shared" si="2"/>
        <v>3</v>
      </c>
      <c r="B13" s="14" t="s">
        <v>138</v>
      </c>
      <c r="C13" s="6" t="s">
        <v>24</v>
      </c>
      <c r="D13" s="19">
        <v>44659</v>
      </c>
      <c r="E13" s="20" t="s">
        <v>48</v>
      </c>
      <c r="F13" s="63" t="s">
        <v>49</v>
      </c>
      <c r="G13" s="1" t="s">
        <v>79</v>
      </c>
      <c r="H13" s="20" t="s">
        <v>50</v>
      </c>
      <c r="I13" s="6">
        <v>2</v>
      </c>
      <c r="J13" s="6">
        <v>1</v>
      </c>
      <c r="K13" s="28">
        <f t="shared" si="0"/>
        <v>2</v>
      </c>
      <c r="L13" s="2" t="str">
        <f t="shared" si="1"/>
        <v>Bajo</v>
      </c>
      <c r="M13" s="31" t="s">
        <v>61</v>
      </c>
      <c r="N13" s="1" t="s">
        <v>105</v>
      </c>
      <c r="O13" s="71" t="s">
        <v>57</v>
      </c>
      <c r="P13" s="1" t="s">
        <v>174</v>
      </c>
      <c r="Q13" s="1" t="s">
        <v>173</v>
      </c>
      <c r="R13" s="1" t="s">
        <v>383</v>
      </c>
    </row>
    <row r="14" spans="1:18">
      <c r="A14" s="1">
        <f t="shared" si="2"/>
        <v>4</v>
      </c>
      <c r="B14" s="9" t="s">
        <v>52</v>
      </c>
      <c r="C14" s="6" t="s">
        <v>24</v>
      </c>
      <c r="D14" s="19">
        <v>44681</v>
      </c>
      <c r="E14" s="20" t="s">
        <v>41</v>
      </c>
      <c r="F14" s="63" t="s">
        <v>64</v>
      </c>
      <c r="G14" s="1" t="s">
        <v>79</v>
      </c>
      <c r="H14" s="1" t="s">
        <v>79</v>
      </c>
      <c r="I14" s="6">
        <v>2</v>
      </c>
      <c r="J14" s="6">
        <v>2</v>
      </c>
      <c r="K14" s="28">
        <f t="shared" si="0"/>
        <v>4</v>
      </c>
      <c r="L14" s="2" t="str">
        <f t="shared" si="1"/>
        <v>Medio</v>
      </c>
      <c r="M14" s="31" t="s">
        <v>61</v>
      </c>
      <c r="N14" s="1" t="s">
        <v>77</v>
      </c>
      <c r="O14" s="71" t="s">
        <v>52</v>
      </c>
      <c r="P14" s="1" t="s">
        <v>179</v>
      </c>
      <c r="Q14" s="1" t="s">
        <v>171</v>
      </c>
      <c r="R14" s="1" t="s">
        <v>383</v>
      </c>
    </row>
    <row r="15" spans="1:18">
      <c r="A15" s="1">
        <f t="shared" si="2"/>
        <v>5</v>
      </c>
      <c r="B15" s="9" t="s">
        <v>43</v>
      </c>
      <c r="C15" s="6" t="s">
        <v>24</v>
      </c>
      <c r="D15" s="19">
        <v>44686</v>
      </c>
      <c r="E15" s="20" t="s">
        <v>36</v>
      </c>
      <c r="F15" s="63" t="s">
        <v>42</v>
      </c>
      <c r="G15" s="21" t="s">
        <v>37</v>
      </c>
      <c r="H15" s="18" t="s">
        <v>39</v>
      </c>
      <c r="I15" s="6">
        <v>1</v>
      </c>
      <c r="J15" s="6">
        <v>2</v>
      </c>
      <c r="K15" s="28">
        <f t="shared" si="0"/>
        <v>2</v>
      </c>
      <c r="L15" s="2" t="str">
        <f t="shared" si="1"/>
        <v>Bajo</v>
      </c>
      <c r="M15" s="31" t="s">
        <v>61</v>
      </c>
      <c r="N15" s="1" t="s">
        <v>76</v>
      </c>
      <c r="O15" s="71" t="s">
        <v>43</v>
      </c>
      <c r="P15" s="1" t="s">
        <v>179</v>
      </c>
      <c r="Q15" s="1" t="s">
        <v>173</v>
      </c>
      <c r="R15" s="1" t="s">
        <v>382</v>
      </c>
    </row>
    <row r="16" spans="1:18">
      <c r="A16" s="1">
        <f t="shared" si="2"/>
        <v>6</v>
      </c>
      <c r="B16" s="9" t="s">
        <v>139</v>
      </c>
      <c r="C16" s="6" t="s">
        <v>24</v>
      </c>
      <c r="D16" s="19">
        <v>44691</v>
      </c>
      <c r="E16" s="20" t="s">
        <v>44</v>
      </c>
      <c r="F16" s="63" t="s">
        <v>45</v>
      </c>
      <c r="G16" s="21" t="s">
        <v>46</v>
      </c>
      <c r="H16" s="20" t="s">
        <v>47</v>
      </c>
      <c r="I16" s="6">
        <v>1</v>
      </c>
      <c r="J16" s="6">
        <v>1</v>
      </c>
      <c r="K16" s="28">
        <f t="shared" si="0"/>
        <v>1</v>
      </c>
      <c r="L16" s="2" t="str">
        <f t="shared" si="1"/>
        <v>Bajo</v>
      </c>
      <c r="M16" s="31" t="s">
        <v>61</v>
      </c>
      <c r="N16" s="1" t="s">
        <v>105</v>
      </c>
      <c r="O16" s="71" t="s">
        <v>58</v>
      </c>
      <c r="P16" s="1" t="s">
        <v>174</v>
      </c>
      <c r="Q16" s="1" t="s">
        <v>173</v>
      </c>
      <c r="R16" s="1" t="s">
        <v>382</v>
      </c>
    </row>
    <row r="17" spans="1:18">
      <c r="A17" s="1">
        <f t="shared" si="2"/>
        <v>7</v>
      </c>
      <c r="B17" s="9" t="s">
        <v>140</v>
      </c>
      <c r="C17" s="6" t="s">
        <v>25</v>
      </c>
      <c r="D17" s="19">
        <v>44743</v>
      </c>
      <c r="E17" s="20" t="s">
        <v>65</v>
      </c>
      <c r="F17" s="63" t="s">
        <v>66</v>
      </c>
      <c r="G17" s="21" t="s">
        <v>67</v>
      </c>
      <c r="H17" s="18" t="s">
        <v>39</v>
      </c>
      <c r="I17" s="6">
        <v>1</v>
      </c>
      <c r="J17" s="6">
        <v>2</v>
      </c>
      <c r="K17" s="28">
        <f t="shared" si="0"/>
        <v>2</v>
      </c>
      <c r="L17" s="2" t="str">
        <f t="shared" si="1"/>
        <v>Bajo</v>
      </c>
      <c r="M17" s="31" t="s">
        <v>61</v>
      </c>
      <c r="N17" s="1" t="s">
        <v>76</v>
      </c>
      <c r="O17" s="71" t="s">
        <v>59</v>
      </c>
      <c r="P17" s="1" t="s">
        <v>174</v>
      </c>
      <c r="Q17" s="1" t="s">
        <v>173</v>
      </c>
      <c r="R17" s="1" t="s">
        <v>382</v>
      </c>
    </row>
    <row r="18" spans="1:18">
      <c r="A18" s="1">
        <f t="shared" si="2"/>
        <v>8</v>
      </c>
      <c r="B18" s="9" t="s">
        <v>60</v>
      </c>
      <c r="C18" s="6" t="s">
        <v>24</v>
      </c>
      <c r="D18" s="19">
        <v>44774</v>
      </c>
      <c r="E18" s="20" t="s">
        <v>260</v>
      </c>
      <c r="F18" s="63" t="s">
        <v>53</v>
      </c>
      <c r="G18" s="21" t="s">
        <v>54</v>
      </c>
      <c r="H18" s="20" t="s">
        <v>55</v>
      </c>
      <c r="I18" s="6">
        <v>1</v>
      </c>
      <c r="J18" s="6">
        <v>3</v>
      </c>
      <c r="K18" s="28">
        <f t="shared" si="0"/>
        <v>3</v>
      </c>
      <c r="L18" s="2" t="str">
        <f t="shared" si="1"/>
        <v>Medio</v>
      </c>
      <c r="M18" s="31" t="s">
        <v>61</v>
      </c>
      <c r="N18" s="1" t="s">
        <v>78</v>
      </c>
      <c r="O18" s="71" t="s">
        <v>60</v>
      </c>
      <c r="P18" s="1" t="s">
        <v>179</v>
      </c>
      <c r="Q18" s="1" t="s">
        <v>172</v>
      </c>
      <c r="R18" s="1" t="s">
        <v>383</v>
      </c>
    </row>
    <row r="19" spans="1:18">
      <c r="A19" s="1">
        <f t="shared" si="2"/>
        <v>9</v>
      </c>
      <c r="B19" s="9" t="s">
        <v>30</v>
      </c>
      <c r="C19" s="6" t="s">
        <v>25</v>
      </c>
      <c r="D19" s="19">
        <v>44788</v>
      </c>
      <c r="E19" s="20" t="s">
        <v>68</v>
      </c>
      <c r="F19" s="63" t="s">
        <v>69</v>
      </c>
      <c r="G19" s="21" t="s">
        <v>70</v>
      </c>
      <c r="H19" s="20" t="s">
        <v>71</v>
      </c>
      <c r="I19" s="6">
        <v>1</v>
      </c>
      <c r="J19" s="6">
        <v>1</v>
      </c>
      <c r="K19" s="28">
        <f t="shared" si="0"/>
        <v>1</v>
      </c>
      <c r="L19" s="2" t="str">
        <f t="shared" si="1"/>
        <v>Bajo</v>
      </c>
      <c r="M19" s="31" t="s">
        <v>61</v>
      </c>
      <c r="N19" s="6" t="s">
        <v>79</v>
      </c>
      <c r="O19" s="71" t="s">
        <v>30</v>
      </c>
      <c r="P19" s="1" t="s">
        <v>176</v>
      </c>
      <c r="Q19" s="1" t="s">
        <v>173</v>
      </c>
      <c r="R19" s="1" t="s">
        <v>383</v>
      </c>
    </row>
    <row r="20" spans="1:18" ht="15" customHeight="1">
      <c r="A20" s="1">
        <f t="shared" si="2"/>
        <v>10</v>
      </c>
      <c r="B20" s="15" t="s">
        <v>51</v>
      </c>
      <c r="C20" s="6" t="s">
        <v>25</v>
      </c>
      <c r="D20" s="19">
        <v>44788</v>
      </c>
      <c r="E20" s="22" t="s">
        <v>72</v>
      </c>
      <c r="F20" s="64" t="s">
        <v>73</v>
      </c>
      <c r="G20" s="23" t="s">
        <v>70</v>
      </c>
      <c r="H20" s="18" t="s">
        <v>39</v>
      </c>
      <c r="I20" s="6">
        <v>2</v>
      </c>
      <c r="J20" s="6">
        <v>2</v>
      </c>
      <c r="K20" s="28">
        <f t="shared" si="0"/>
        <v>4</v>
      </c>
      <c r="L20" s="2" t="str">
        <f t="shared" si="1"/>
        <v>Medio</v>
      </c>
      <c r="M20" s="31" t="s">
        <v>61</v>
      </c>
      <c r="N20" s="1" t="s">
        <v>76</v>
      </c>
      <c r="O20" s="71" t="s">
        <v>51</v>
      </c>
      <c r="P20" s="1" t="s">
        <v>176</v>
      </c>
      <c r="Q20" s="1" t="s">
        <v>173</v>
      </c>
      <c r="R20" s="1" t="s">
        <v>382</v>
      </c>
    </row>
    <row r="21" spans="1:18">
      <c r="A21" s="1">
        <f t="shared" si="2"/>
        <v>11</v>
      </c>
      <c r="B21" s="9" t="s">
        <v>97</v>
      </c>
      <c r="C21" s="6" t="s">
        <v>26</v>
      </c>
      <c r="D21" s="19">
        <v>44797</v>
      </c>
      <c r="E21" s="1" t="s">
        <v>98</v>
      </c>
      <c r="F21" s="1" t="s">
        <v>79</v>
      </c>
      <c r="G21" s="25" t="s">
        <v>99</v>
      </c>
      <c r="H21" s="1" t="s">
        <v>100</v>
      </c>
      <c r="I21" s="6">
        <v>1</v>
      </c>
      <c r="J21" s="6">
        <v>1</v>
      </c>
      <c r="K21" s="28">
        <f t="shared" si="0"/>
        <v>1</v>
      </c>
      <c r="L21" s="2" t="str">
        <f t="shared" si="1"/>
        <v>Bajo</v>
      </c>
      <c r="M21" s="31" t="s">
        <v>61</v>
      </c>
      <c r="N21" s="1" t="s">
        <v>101</v>
      </c>
      <c r="O21" s="71" t="s">
        <v>97</v>
      </c>
      <c r="P21" s="1" t="s">
        <v>176</v>
      </c>
      <c r="Q21" s="1" t="s">
        <v>172</v>
      </c>
      <c r="R21" s="1" t="s">
        <v>383</v>
      </c>
    </row>
    <row r="22" spans="1:18">
      <c r="A22" s="1">
        <f t="shared" si="2"/>
        <v>12</v>
      </c>
      <c r="B22" s="9" t="s">
        <v>110</v>
      </c>
      <c r="C22" s="6" t="s">
        <v>24</v>
      </c>
      <c r="D22" s="19">
        <v>44798</v>
      </c>
      <c r="E22" s="1" t="s">
        <v>106</v>
      </c>
      <c r="F22" s="20" t="s">
        <v>107</v>
      </c>
      <c r="G22" s="25" t="s">
        <v>108</v>
      </c>
      <c r="H22" s="1" t="s">
        <v>71</v>
      </c>
      <c r="I22" s="6">
        <v>2</v>
      </c>
      <c r="J22" s="6">
        <v>1</v>
      </c>
      <c r="K22" s="28">
        <f t="shared" si="0"/>
        <v>2</v>
      </c>
      <c r="L22" s="2" t="str">
        <f t="shared" si="1"/>
        <v>Bajo</v>
      </c>
      <c r="M22" s="31" t="s">
        <v>61</v>
      </c>
      <c r="N22" s="1" t="s">
        <v>109</v>
      </c>
      <c r="O22" s="71" t="s">
        <v>110</v>
      </c>
      <c r="P22" s="1" t="s">
        <v>176</v>
      </c>
      <c r="Q22" s="1" t="s">
        <v>173</v>
      </c>
      <c r="R22" s="1" t="s">
        <v>383</v>
      </c>
    </row>
    <row r="23" spans="1:18">
      <c r="A23" s="1">
        <f t="shared" si="2"/>
        <v>13</v>
      </c>
      <c r="B23" s="9" t="s">
        <v>114</v>
      </c>
      <c r="C23" s="6" t="s">
        <v>25</v>
      </c>
      <c r="D23" s="19">
        <v>44799</v>
      </c>
      <c r="E23" s="1" t="s">
        <v>111</v>
      </c>
      <c r="F23" s="20" t="s">
        <v>112</v>
      </c>
      <c r="G23" s="25" t="s">
        <v>113</v>
      </c>
      <c r="H23" s="18" t="s">
        <v>39</v>
      </c>
      <c r="I23" s="6">
        <v>1</v>
      </c>
      <c r="J23" s="6">
        <v>2</v>
      </c>
      <c r="K23" s="28">
        <f t="shared" si="0"/>
        <v>2</v>
      </c>
      <c r="L23" s="2" t="str">
        <f t="shared" si="1"/>
        <v>Bajo</v>
      </c>
      <c r="M23" s="31" t="s">
        <v>61</v>
      </c>
      <c r="N23" s="1" t="s">
        <v>94</v>
      </c>
      <c r="O23" s="71" t="s">
        <v>114</v>
      </c>
      <c r="P23" s="1" t="s">
        <v>176</v>
      </c>
      <c r="Q23" s="1" t="s">
        <v>173</v>
      </c>
      <c r="R23" s="1" t="s">
        <v>382</v>
      </c>
    </row>
    <row r="24" spans="1:18">
      <c r="A24" s="1">
        <f t="shared" si="2"/>
        <v>14</v>
      </c>
      <c r="B24" s="9" t="s">
        <v>122</v>
      </c>
      <c r="C24" s="6" t="s">
        <v>25</v>
      </c>
      <c r="D24" s="19">
        <v>44810</v>
      </c>
      <c r="E24" s="1" t="s">
        <v>125</v>
      </c>
      <c r="F24" s="20" t="s">
        <v>126</v>
      </c>
      <c r="G24" s="25" t="s">
        <v>127</v>
      </c>
      <c r="H24" s="1" t="s">
        <v>71</v>
      </c>
      <c r="I24" s="6">
        <v>2</v>
      </c>
      <c r="J24" s="6">
        <v>1</v>
      </c>
      <c r="K24" s="28">
        <f t="shared" si="0"/>
        <v>2</v>
      </c>
      <c r="L24" s="2" t="str">
        <f t="shared" si="1"/>
        <v>Bajo</v>
      </c>
      <c r="M24" s="31" t="s">
        <v>61</v>
      </c>
      <c r="N24" s="1" t="s">
        <v>109</v>
      </c>
      <c r="O24" s="71" t="s">
        <v>122</v>
      </c>
      <c r="P24" s="1" t="s">
        <v>176</v>
      </c>
      <c r="Q24" s="1" t="s">
        <v>173</v>
      </c>
      <c r="R24" s="1" t="s">
        <v>383</v>
      </c>
    </row>
    <row r="25" spans="1:18">
      <c r="A25" s="1">
        <f t="shared" si="2"/>
        <v>15</v>
      </c>
      <c r="B25" s="9" t="s">
        <v>123</v>
      </c>
      <c r="C25" s="6" t="s">
        <v>25</v>
      </c>
      <c r="D25" s="19">
        <v>44810</v>
      </c>
      <c r="E25" s="1" t="s">
        <v>128</v>
      </c>
      <c r="F25" s="20" t="s">
        <v>129</v>
      </c>
      <c r="G25" s="25" t="s">
        <v>130</v>
      </c>
      <c r="H25" s="18" t="s">
        <v>39</v>
      </c>
      <c r="I25" s="6">
        <v>1</v>
      </c>
      <c r="J25" s="6">
        <v>2</v>
      </c>
      <c r="K25" s="28">
        <f t="shared" si="0"/>
        <v>2</v>
      </c>
      <c r="L25" s="2" t="str">
        <f t="shared" si="1"/>
        <v>Bajo</v>
      </c>
      <c r="M25" s="31" t="s">
        <v>61</v>
      </c>
      <c r="N25" s="1" t="s">
        <v>76</v>
      </c>
      <c r="O25" s="71" t="s">
        <v>123</v>
      </c>
      <c r="P25" s="1" t="s">
        <v>176</v>
      </c>
      <c r="Q25" s="1" t="s">
        <v>173</v>
      </c>
      <c r="R25" s="1" t="s">
        <v>383</v>
      </c>
    </row>
    <row r="26" spans="1:18">
      <c r="A26" s="1">
        <f t="shared" si="2"/>
        <v>16</v>
      </c>
      <c r="B26" s="9" t="s">
        <v>124</v>
      </c>
      <c r="C26" s="6" t="s">
        <v>25</v>
      </c>
      <c r="D26" s="19">
        <v>44810</v>
      </c>
      <c r="E26" s="1" t="s">
        <v>133</v>
      </c>
      <c r="F26" s="20" t="s">
        <v>131</v>
      </c>
      <c r="G26" s="25" t="s">
        <v>132</v>
      </c>
      <c r="H26" s="18" t="s">
        <v>39</v>
      </c>
      <c r="I26" s="8">
        <v>1</v>
      </c>
      <c r="J26" s="6">
        <v>2</v>
      </c>
      <c r="K26" s="28">
        <f t="shared" si="0"/>
        <v>2</v>
      </c>
      <c r="L26" s="2" t="str">
        <f t="shared" si="1"/>
        <v>Bajo</v>
      </c>
      <c r="M26" s="31" t="s">
        <v>61</v>
      </c>
      <c r="N26" s="1" t="s">
        <v>76</v>
      </c>
      <c r="O26" s="71" t="s">
        <v>124</v>
      </c>
      <c r="P26" s="1" t="s">
        <v>176</v>
      </c>
      <c r="Q26" s="1" t="s">
        <v>173</v>
      </c>
      <c r="R26" s="1" t="s">
        <v>383</v>
      </c>
    </row>
    <row r="27" spans="1:18">
      <c r="A27" s="1">
        <f t="shared" si="2"/>
        <v>17</v>
      </c>
      <c r="B27" s="9" t="s">
        <v>146</v>
      </c>
      <c r="C27" s="6" t="s">
        <v>24</v>
      </c>
      <c r="D27" s="19">
        <v>44811</v>
      </c>
      <c r="E27" s="1" t="s">
        <v>147</v>
      </c>
      <c r="F27" s="20" t="s">
        <v>148</v>
      </c>
      <c r="G27" s="1" t="s">
        <v>79</v>
      </c>
      <c r="H27" s="1" t="s">
        <v>78</v>
      </c>
      <c r="I27" s="8">
        <v>2</v>
      </c>
      <c r="J27" s="6">
        <v>1</v>
      </c>
      <c r="K27" s="28">
        <f t="shared" si="0"/>
        <v>2</v>
      </c>
      <c r="L27" s="2" t="str">
        <f t="shared" si="1"/>
        <v>Bajo</v>
      </c>
      <c r="M27" s="31" t="s">
        <v>61</v>
      </c>
      <c r="N27" s="1" t="s">
        <v>78</v>
      </c>
      <c r="O27" s="71" t="s">
        <v>146</v>
      </c>
      <c r="P27" s="1" t="s">
        <v>179</v>
      </c>
      <c r="Q27" s="1" t="s">
        <v>172</v>
      </c>
      <c r="R27" s="1" t="s">
        <v>383</v>
      </c>
    </row>
    <row r="28" spans="1:18">
      <c r="A28" s="1">
        <f t="shared" si="2"/>
        <v>18</v>
      </c>
      <c r="B28" s="9" t="s">
        <v>141</v>
      </c>
      <c r="C28" s="6" t="s">
        <v>25</v>
      </c>
      <c r="D28" s="19">
        <v>44812</v>
      </c>
      <c r="E28" s="1" t="s">
        <v>142</v>
      </c>
      <c r="F28" s="20" t="s">
        <v>143</v>
      </c>
      <c r="G28" s="25" t="s">
        <v>144</v>
      </c>
      <c r="H28" s="1" t="s">
        <v>213</v>
      </c>
      <c r="I28" s="8">
        <v>2</v>
      </c>
      <c r="J28" s="6">
        <v>2</v>
      </c>
      <c r="K28" s="28">
        <f t="shared" si="0"/>
        <v>4</v>
      </c>
      <c r="L28" s="2" t="str">
        <f t="shared" si="1"/>
        <v>Medio</v>
      </c>
      <c r="M28" s="31" t="s">
        <v>61</v>
      </c>
      <c r="N28" s="1" t="s">
        <v>145</v>
      </c>
      <c r="O28" s="71" t="s">
        <v>141</v>
      </c>
      <c r="P28" s="1" t="s">
        <v>176</v>
      </c>
      <c r="Q28" s="1" t="s">
        <v>173</v>
      </c>
      <c r="R28" s="1" t="s">
        <v>382</v>
      </c>
    </row>
    <row r="29" spans="1:18">
      <c r="A29" s="1">
        <f t="shared" si="2"/>
        <v>19</v>
      </c>
      <c r="B29" s="9" t="s">
        <v>149</v>
      </c>
      <c r="C29" s="6" t="s">
        <v>24</v>
      </c>
      <c r="D29" s="19">
        <v>44812</v>
      </c>
      <c r="E29" s="1" t="s">
        <v>410</v>
      </c>
      <c r="F29" s="1" t="s">
        <v>79</v>
      </c>
      <c r="G29" s="1" t="s">
        <v>79</v>
      </c>
      <c r="H29" s="1" t="s">
        <v>150</v>
      </c>
      <c r="I29" s="8">
        <v>2</v>
      </c>
      <c r="J29" s="6">
        <v>3</v>
      </c>
      <c r="K29" s="28">
        <f t="shared" si="0"/>
        <v>6</v>
      </c>
      <c r="L29" s="2" t="str">
        <f t="shared" si="1"/>
        <v>Alto</v>
      </c>
      <c r="M29" s="31" t="s">
        <v>61</v>
      </c>
      <c r="N29" s="1" t="s">
        <v>157</v>
      </c>
      <c r="O29" s="71" t="s">
        <v>149</v>
      </c>
      <c r="P29" s="1" t="s">
        <v>179</v>
      </c>
      <c r="Q29" s="1" t="s">
        <v>172</v>
      </c>
      <c r="R29" s="1" t="s">
        <v>40</v>
      </c>
    </row>
    <row r="30" spans="1:18">
      <c r="A30" s="1">
        <f t="shared" si="2"/>
        <v>20</v>
      </c>
      <c r="B30" s="9" t="s">
        <v>158</v>
      </c>
      <c r="C30" s="6" t="s">
        <v>24</v>
      </c>
      <c r="D30" s="30">
        <v>44816</v>
      </c>
      <c r="E30" s="1" t="s">
        <v>159</v>
      </c>
      <c r="F30" s="20" t="s">
        <v>160</v>
      </c>
      <c r="G30" s="25" t="s">
        <v>161</v>
      </c>
      <c r="H30" s="18" t="s">
        <v>39</v>
      </c>
      <c r="I30" s="8">
        <v>1</v>
      </c>
      <c r="J30" s="6">
        <v>1</v>
      </c>
      <c r="K30" s="28">
        <f t="shared" si="0"/>
        <v>1</v>
      </c>
      <c r="L30" s="2" t="str">
        <f t="shared" si="1"/>
        <v>Bajo</v>
      </c>
      <c r="M30" s="31" t="s">
        <v>61</v>
      </c>
      <c r="N30" s="1" t="s">
        <v>76</v>
      </c>
      <c r="O30" s="71" t="s">
        <v>158</v>
      </c>
      <c r="P30" s="1" t="s">
        <v>176</v>
      </c>
      <c r="Q30" s="1" t="s">
        <v>171</v>
      </c>
      <c r="R30" s="1" t="s">
        <v>383</v>
      </c>
    </row>
    <row r="31" spans="1:18">
      <c r="A31" s="1">
        <f t="shared" si="2"/>
        <v>21</v>
      </c>
      <c r="B31" s="9" t="s">
        <v>163</v>
      </c>
      <c r="C31" s="6" t="s">
        <v>25</v>
      </c>
      <c r="D31" s="19">
        <v>44827</v>
      </c>
      <c r="E31" s="1" t="s">
        <v>164</v>
      </c>
      <c r="F31" s="20" t="s">
        <v>180</v>
      </c>
      <c r="G31" s="25" t="s">
        <v>165</v>
      </c>
      <c r="H31" s="18" t="s">
        <v>39</v>
      </c>
      <c r="I31" s="8">
        <v>1</v>
      </c>
      <c r="J31" s="6">
        <v>1</v>
      </c>
      <c r="K31" s="28">
        <f t="shared" si="0"/>
        <v>1</v>
      </c>
      <c r="L31" s="2" t="str">
        <f t="shared" si="1"/>
        <v>Bajo</v>
      </c>
      <c r="M31" s="31" t="s">
        <v>61</v>
      </c>
      <c r="N31" s="1" t="s">
        <v>76</v>
      </c>
      <c r="O31" s="71" t="s">
        <v>163</v>
      </c>
      <c r="P31" s="1" t="s">
        <v>176</v>
      </c>
      <c r="Q31" s="1" t="s">
        <v>173</v>
      </c>
      <c r="R31" s="1" t="s">
        <v>383</v>
      </c>
    </row>
    <row r="32" spans="1:18">
      <c r="A32" s="1">
        <f t="shared" si="2"/>
        <v>22</v>
      </c>
      <c r="B32" s="9" t="s">
        <v>166</v>
      </c>
      <c r="C32" s="6" t="s">
        <v>25</v>
      </c>
      <c r="D32" s="30">
        <v>44830</v>
      </c>
      <c r="E32" s="1" t="s">
        <v>167</v>
      </c>
      <c r="F32" s="20" t="s">
        <v>169</v>
      </c>
      <c r="G32" s="25" t="s">
        <v>168</v>
      </c>
      <c r="H32" s="18" t="s">
        <v>39</v>
      </c>
      <c r="I32" s="8">
        <v>1</v>
      </c>
      <c r="J32" s="6">
        <v>1</v>
      </c>
      <c r="K32" s="28">
        <f t="shared" si="0"/>
        <v>1</v>
      </c>
      <c r="L32" s="2" t="str">
        <f t="shared" si="1"/>
        <v>Bajo</v>
      </c>
      <c r="M32" s="31" t="s">
        <v>61</v>
      </c>
      <c r="N32" s="1" t="s">
        <v>76</v>
      </c>
      <c r="O32" s="71" t="s">
        <v>166</v>
      </c>
      <c r="P32" s="1" t="s">
        <v>176</v>
      </c>
      <c r="Q32" s="1" t="s">
        <v>173</v>
      </c>
      <c r="R32" s="1" t="s">
        <v>382</v>
      </c>
    </row>
    <row r="33" spans="1:18">
      <c r="A33" s="1">
        <f t="shared" si="2"/>
        <v>23</v>
      </c>
      <c r="B33" s="9" t="s">
        <v>191</v>
      </c>
      <c r="C33" s="6" t="s">
        <v>25</v>
      </c>
      <c r="D33" s="30">
        <v>44833</v>
      </c>
      <c r="E33" s="1" t="s">
        <v>192</v>
      </c>
      <c r="F33" s="20" t="s">
        <v>193</v>
      </c>
      <c r="G33" s="25" t="s">
        <v>195</v>
      </c>
      <c r="H33" s="18" t="s">
        <v>39</v>
      </c>
      <c r="I33" s="8">
        <v>1</v>
      </c>
      <c r="J33" s="6">
        <v>1</v>
      </c>
      <c r="K33" s="28">
        <f t="shared" si="0"/>
        <v>1</v>
      </c>
      <c r="L33" s="2" t="str">
        <f t="shared" si="1"/>
        <v>Bajo</v>
      </c>
      <c r="M33" s="31" t="s">
        <v>61</v>
      </c>
      <c r="N33" s="1" t="s">
        <v>194</v>
      </c>
      <c r="O33" s="71" t="s">
        <v>191</v>
      </c>
      <c r="P33" s="1" t="s">
        <v>176</v>
      </c>
      <c r="Q33" s="1" t="s">
        <v>173</v>
      </c>
      <c r="R33" s="1" t="s">
        <v>382</v>
      </c>
    </row>
    <row r="34" spans="1:18">
      <c r="A34" s="1">
        <f t="shared" si="2"/>
        <v>24</v>
      </c>
      <c r="B34" s="9" t="s">
        <v>196</v>
      </c>
      <c r="C34" s="6" t="s">
        <v>24</v>
      </c>
      <c r="D34" s="30">
        <v>44838</v>
      </c>
      <c r="E34" s="1" t="s">
        <v>197</v>
      </c>
      <c r="F34" s="1" t="s">
        <v>79</v>
      </c>
      <c r="G34" s="53" t="s">
        <v>198</v>
      </c>
      <c r="H34" s="1" t="s">
        <v>199</v>
      </c>
      <c r="I34" s="8">
        <v>3</v>
      </c>
      <c r="J34" s="6">
        <v>1</v>
      </c>
      <c r="K34" s="28">
        <f t="shared" si="0"/>
        <v>3</v>
      </c>
      <c r="L34" s="2" t="str">
        <f t="shared" si="1"/>
        <v>Medio</v>
      </c>
      <c r="M34" s="31" t="s">
        <v>61</v>
      </c>
      <c r="N34" s="1" t="s">
        <v>200</v>
      </c>
      <c r="O34" s="72" t="s">
        <v>196</v>
      </c>
      <c r="P34" s="1" t="s">
        <v>177</v>
      </c>
      <c r="Q34" s="1" t="s">
        <v>173</v>
      </c>
      <c r="R34" s="1" t="s">
        <v>383</v>
      </c>
    </row>
    <row r="35" spans="1:18">
      <c r="A35" s="1">
        <f t="shared" si="2"/>
        <v>25</v>
      </c>
      <c r="B35" s="9" t="s">
        <v>217</v>
      </c>
      <c r="C35" s="6" t="s">
        <v>25</v>
      </c>
      <c r="D35" s="30">
        <v>44839</v>
      </c>
      <c r="E35" s="1" t="s">
        <v>214</v>
      </c>
      <c r="F35" s="20" t="s">
        <v>215</v>
      </c>
      <c r="G35" s="25" t="s">
        <v>216</v>
      </c>
      <c r="H35" s="18" t="s">
        <v>39</v>
      </c>
      <c r="I35" s="8">
        <v>1</v>
      </c>
      <c r="J35" s="6">
        <v>1</v>
      </c>
      <c r="K35" s="28">
        <f t="shared" si="0"/>
        <v>1</v>
      </c>
      <c r="L35" s="2" t="str">
        <f t="shared" si="1"/>
        <v>Bajo</v>
      </c>
      <c r="M35" s="31" t="s">
        <v>61</v>
      </c>
      <c r="N35" s="1" t="s">
        <v>76</v>
      </c>
      <c r="O35" s="71" t="s">
        <v>217</v>
      </c>
      <c r="P35" s="1" t="s">
        <v>176</v>
      </c>
      <c r="Q35" s="1" t="s">
        <v>173</v>
      </c>
      <c r="R35" s="1" t="s">
        <v>382</v>
      </c>
    </row>
    <row r="36" spans="1:18">
      <c r="A36" s="1">
        <f t="shared" si="2"/>
        <v>26</v>
      </c>
      <c r="B36" s="9" t="s">
        <v>201</v>
      </c>
      <c r="C36" s="6" t="s">
        <v>25</v>
      </c>
      <c r="D36" s="30">
        <v>44840</v>
      </c>
      <c r="E36" s="1" t="s">
        <v>202</v>
      </c>
      <c r="F36" s="20" t="s">
        <v>203</v>
      </c>
      <c r="G36" s="25" t="s">
        <v>204</v>
      </c>
      <c r="H36" s="18" t="s">
        <v>39</v>
      </c>
      <c r="I36" s="8">
        <v>2</v>
      </c>
      <c r="J36" s="6">
        <v>1</v>
      </c>
      <c r="K36" s="28">
        <f t="shared" si="0"/>
        <v>2</v>
      </c>
      <c r="L36" s="2" t="str">
        <f t="shared" si="1"/>
        <v>Bajo</v>
      </c>
      <c r="M36" s="31" t="s">
        <v>61</v>
      </c>
      <c r="N36" s="1" t="s">
        <v>94</v>
      </c>
      <c r="O36" s="71" t="s">
        <v>201</v>
      </c>
      <c r="P36" s="1" t="s">
        <v>176</v>
      </c>
      <c r="Q36" s="1" t="s">
        <v>173</v>
      </c>
      <c r="R36" s="1" t="s">
        <v>382</v>
      </c>
    </row>
    <row r="37" spans="1:18">
      <c r="A37" s="1">
        <f t="shared" si="2"/>
        <v>27</v>
      </c>
      <c r="B37" s="50" t="s">
        <v>218</v>
      </c>
      <c r="C37" s="6" t="s">
        <v>25</v>
      </c>
      <c r="D37" s="30">
        <v>44851</v>
      </c>
      <c r="E37" s="1" t="s">
        <v>219</v>
      </c>
      <c r="F37" s="20" t="s">
        <v>220</v>
      </c>
      <c r="G37" s="25" t="s">
        <v>221</v>
      </c>
      <c r="H37" s="18" t="s">
        <v>39</v>
      </c>
      <c r="I37" s="8">
        <v>1</v>
      </c>
      <c r="J37" s="6">
        <v>1</v>
      </c>
      <c r="K37" s="28">
        <f t="shared" si="0"/>
        <v>1</v>
      </c>
      <c r="L37" s="2" t="str">
        <f t="shared" si="1"/>
        <v>Bajo</v>
      </c>
      <c r="M37" s="31" t="s">
        <v>61</v>
      </c>
      <c r="N37" s="1" t="s">
        <v>94</v>
      </c>
      <c r="O37" s="73" t="s">
        <v>218</v>
      </c>
      <c r="P37" s="1" t="s">
        <v>176</v>
      </c>
      <c r="Q37" s="1" t="s">
        <v>173</v>
      </c>
      <c r="R37" s="1" t="s">
        <v>383</v>
      </c>
    </row>
    <row r="38" spans="1:18">
      <c r="A38" s="1">
        <f t="shared" si="2"/>
        <v>28</v>
      </c>
      <c r="B38" s="9" t="s">
        <v>222</v>
      </c>
      <c r="C38" s="6" t="s">
        <v>25</v>
      </c>
      <c r="D38" s="30">
        <v>44854</v>
      </c>
      <c r="E38" s="1" t="s">
        <v>223</v>
      </c>
      <c r="F38" s="20" t="s">
        <v>224</v>
      </c>
      <c r="G38" s="25" t="s">
        <v>225</v>
      </c>
      <c r="H38" s="18" t="s">
        <v>39</v>
      </c>
      <c r="I38" s="8">
        <v>1</v>
      </c>
      <c r="J38" s="6">
        <v>1</v>
      </c>
      <c r="K38" s="28">
        <f t="shared" si="0"/>
        <v>1</v>
      </c>
      <c r="L38" s="2" t="str">
        <f t="shared" si="1"/>
        <v>Bajo</v>
      </c>
      <c r="M38" s="31" t="s">
        <v>61</v>
      </c>
      <c r="N38" s="1" t="s">
        <v>76</v>
      </c>
      <c r="O38" s="71" t="s">
        <v>222</v>
      </c>
      <c r="P38" s="1" t="s">
        <v>176</v>
      </c>
      <c r="Q38" s="1" t="s">
        <v>173</v>
      </c>
      <c r="R38" s="1" t="s">
        <v>383</v>
      </c>
    </row>
    <row r="39" spans="1:18">
      <c r="A39" s="1">
        <f t="shared" si="2"/>
        <v>29</v>
      </c>
      <c r="B39" s="9" t="s">
        <v>226</v>
      </c>
      <c r="C39" s="6" t="s">
        <v>25</v>
      </c>
      <c r="D39" s="30">
        <v>44854</v>
      </c>
      <c r="E39" s="1" t="s">
        <v>227</v>
      </c>
      <c r="F39" s="20" t="s">
        <v>228</v>
      </c>
      <c r="G39" s="25" t="s">
        <v>229</v>
      </c>
      <c r="H39" s="18" t="s">
        <v>39</v>
      </c>
      <c r="I39" s="8">
        <v>1</v>
      </c>
      <c r="J39" s="6">
        <v>1</v>
      </c>
      <c r="K39" s="28">
        <f t="shared" si="0"/>
        <v>1</v>
      </c>
      <c r="L39" s="2" t="str">
        <f t="shared" si="1"/>
        <v>Bajo</v>
      </c>
      <c r="M39" s="31" t="s">
        <v>61</v>
      </c>
      <c r="N39" s="1" t="s">
        <v>76</v>
      </c>
      <c r="O39" s="71" t="s">
        <v>226</v>
      </c>
      <c r="P39" s="1" t="s">
        <v>176</v>
      </c>
      <c r="Q39" s="1" t="s">
        <v>173</v>
      </c>
      <c r="R39" s="1" t="s">
        <v>383</v>
      </c>
    </row>
    <row r="40" spans="1:18">
      <c r="A40" s="1">
        <f t="shared" si="2"/>
        <v>30</v>
      </c>
      <c r="B40" s="9" t="s">
        <v>230</v>
      </c>
      <c r="C40" s="6" t="s">
        <v>25</v>
      </c>
      <c r="D40" s="30">
        <v>44855</v>
      </c>
      <c r="E40" s="1" t="s">
        <v>231</v>
      </c>
      <c r="F40" s="20" t="s">
        <v>232</v>
      </c>
      <c r="G40" s="25" t="s">
        <v>233</v>
      </c>
      <c r="H40" s="18" t="s">
        <v>39</v>
      </c>
      <c r="I40" s="8">
        <v>1</v>
      </c>
      <c r="J40" s="6">
        <v>1</v>
      </c>
      <c r="K40" s="28">
        <f t="shared" si="0"/>
        <v>1</v>
      </c>
      <c r="L40" s="2" t="str">
        <f t="shared" si="1"/>
        <v>Bajo</v>
      </c>
      <c r="M40" s="31" t="s">
        <v>61</v>
      </c>
      <c r="N40" s="1" t="s">
        <v>234</v>
      </c>
      <c r="O40" s="71" t="s">
        <v>230</v>
      </c>
      <c r="P40" s="1" t="s">
        <v>176</v>
      </c>
      <c r="Q40" s="1" t="s">
        <v>173</v>
      </c>
      <c r="R40" s="1" t="s">
        <v>382</v>
      </c>
    </row>
    <row r="41" spans="1:18">
      <c r="A41" s="1">
        <f t="shared" si="2"/>
        <v>31</v>
      </c>
      <c r="B41" s="9" t="s">
        <v>251</v>
      </c>
      <c r="C41" s="6" t="s">
        <v>25</v>
      </c>
      <c r="D41" s="30">
        <v>44861</v>
      </c>
      <c r="E41" s="1" t="s">
        <v>253</v>
      </c>
      <c r="F41" s="20" t="s">
        <v>254</v>
      </c>
      <c r="G41" s="25" t="s">
        <v>255</v>
      </c>
      <c r="H41" s="18" t="s">
        <v>39</v>
      </c>
      <c r="I41" s="8">
        <v>1</v>
      </c>
      <c r="J41" s="6">
        <v>1</v>
      </c>
      <c r="K41" s="28">
        <f t="shared" si="0"/>
        <v>1</v>
      </c>
      <c r="L41" s="2" t="str">
        <f t="shared" si="1"/>
        <v>Bajo</v>
      </c>
      <c r="M41" s="31" t="s">
        <v>61</v>
      </c>
      <c r="N41" s="1" t="s">
        <v>76</v>
      </c>
      <c r="O41" s="71" t="s">
        <v>251</v>
      </c>
      <c r="P41" s="1" t="s">
        <v>176</v>
      </c>
      <c r="Q41" s="1" t="s">
        <v>173</v>
      </c>
      <c r="R41" s="1" t="s">
        <v>383</v>
      </c>
    </row>
    <row r="42" spans="1:18">
      <c r="A42" s="1">
        <f t="shared" si="2"/>
        <v>32</v>
      </c>
      <c r="B42" s="9" t="s">
        <v>252</v>
      </c>
      <c r="C42" s="6" t="s">
        <v>25</v>
      </c>
      <c r="D42" s="30">
        <v>44861</v>
      </c>
      <c r="E42" s="1" t="s">
        <v>256</v>
      </c>
      <c r="F42" s="20" t="s">
        <v>257</v>
      </c>
      <c r="G42" s="25" t="s">
        <v>258</v>
      </c>
      <c r="H42" s="18" t="s">
        <v>39</v>
      </c>
      <c r="I42" s="8">
        <v>1</v>
      </c>
      <c r="J42" s="6">
        <v>1</v>
      </c>
      <c r="K42" s="28">
        <f t="shared" si="0"/>
        <v>1</v>
      </c>
      <c r="L42" s="2" t="str">
        <f t="shared" si="1"/>
        <v>Bajo</v>
      </c>
      <c r="M42" s="31" t="s">
        <v>61</v>
      </c>
      <c r="N42" s="1" t="s">
        <v>94</v>
      </c>
      <c r="O42" s="71" t="s">
        <v>252</v>
      </c>
      <c r="P42" s="1" t="s">
        <v>176</v>
      </c>
      <c r="Q42" s="1" t="s">
        <v>173</v>
      </c>
      <c r="R42" s="1" t="s">
        <v>383</v>
      </c>
    </row>
    <row r="43" spans="1:18">
      <c r="A43" s="1">
        <f t="shared" si="2"/>
        <v>33</v>
      </c>
      <c r="B43" s="9" t="s">
        <v>259</v>
      </c>
      <c r="C43" s="6" t="s">
        <v>24</v>
      </c>
      <c r="D43" s="30">
        <v>44861</v>
      </c>
      <c r="E43" s="1" t="s">
        <v>260</v>
      </c>
      <c r="F43" s="63" t="s">
        <v>53</v>
      </c>
      <c r="G43" s="25" t="s">
        <v>54</v>
      </c>
      <c r="H43" s="1" t="s">
        <v>261</v>
      </c>
      <c r="I43" s="8">
        <v>2</v>
      </c>
      <c r="J43" s="6">
        <v>1</v>
      </c>
      <c r="K43" s="28">
        <f t="shared" ref="K43:K61" si="3">I43*J43</f>
        <v>2</v>
      </c>
      <c r="L43" s="2" t="str">
        <f t="shared" ref="L43:L62" si="4">IF(K43=1,"Bajo",IF(K43=2,"Bajo",IF(K43=3,"Medio",IF(K43=4,"Medio",IF(K43=6,"Alto",IF(K43=9,"Alto"))))))</f>
        <v>Bajo</v>
      </c>
      <c r="M43" s="31" t="s">
        <v>61</v>
      </c>
      <c r="N43" s="1" t="s">
        <v>78</v>
      </c>
      <c r="O43" s="71" t="s">
        <v>259</v>
      </c>
      <c r="P43" s="1" t="s">
        <v>179</v>
      </c>
      <c r="Q43" s="1" t="s">
        <v>172</v>
      </c>
      <c r="R43" s="1" t="s">
        <v>383</v>
      </c>
    </row>
    <row r="44" spans="1:18">
      <c r="A44" s="1">
        <f t="shared" si="2"/>
        <v>34</v>
      </c>
      <c r="B44" s="9" t="s">
        <v>263</v>
      </c>
      <c r="C44" s="6" t="s">
        <v>25</v>
      </c>
      <c r="D44" s="30">
        <v>44869</v>
      </c>
      <c r="E44" s="1" t="s">
        <v>264</v>
      </c>
      <c r="F44" s="20" t="s">
        <v>265</v>
      </c>
      <c r="G44" s="25" t="s">
        <v>266</v>
      </c>
      <c r="H44" s="18" t="s">
        <v>39</v>
      </c>
      <c r="I44" s="8">
        <v>1</v>
      </c>
      <c r="J44" s="6">
        <v>1</v>
      </c>
      <c r="K44" s="28">
        <f t="shared" si="3"/>
        <v>1</v>
      </c>
      <c r="L44" s="2" t="str">
        <f t="shared" si="4"/>
        <v>Bajo</v>
      </c>
      <c r="M44" s="31" t="s">
        <v>61</v>
      </c>
      <c r="N44" s="1" t="s">
        <v>76</v>
      </c>
      <c r="O44" s="71" t="s">
        <v>263</v>
      </c>
      <c r="P44" s="1" t="s">
        <v>176</v>
      </c>
      <c r="Q44" s="1" t="s">
        <v>173</v>
      </c>
      <c r="R44" s="1" t="s">
        <v>383</v>
      </c>
    </row>
    <row r="45" spans="1:18">
      <c r="A45" s="1">
        <f t="shared" si="2"/>
        <v>35</v>
      </c>
      <c r="B45" s="9" t="s">
        <v>267</v>
      </c>
      <c r="C45" s="6" t="s">
        <v>25</v>
      </c>
      <c r="D45" s="30">
        <v>44869</v>
      </c>
      <c r="E45" s="1" t="s">
        <v>268</v>
      </c>
      <c r="F45" s="20" t="s">
        <v>269</v>
      </c>
      <c r="G45" s="25" t="s">
        <v>270</v>
      </c>
      <c r="H45" s="18" t="s">
        <v>39</v>
      </c>
      <c r="I45" s="8">
        <v>1</v>
      </c>
      <c r="J45" s="6">
        <v>1</v>
      </c>
      <c r="K45" s="28">
        <f t="shared" si="3"/>
        <v>1</v>
      </c>
      <c r="L45" s="2" t="str">
        <f t="shared" si="4"/>
        <v>Bajo</v>
      </c>
      <c r="M45" s="31" t="s">
        <v>61</v>
      </c>
      <c r="N45" s="1" t="s">
        <v>76</v>
      </c>
      <c r="O45" s="71" t="s">
        <v>267</v>
      </c>
      <c r="P45" s="1" t="s">
        <v>176</v>
      </c>
      <c r="Q45" s="1" t="s">
        <v>276</v>
      </c>
      <c r="R45" s="1" t="s">
        <v>382</v>
      </c>
    </row>
    <row r="46" spans="1:18">
      <c r="A46" s="1">
        <f t="shared" si="2"/>
        <v>36</v>
      </c>
      <c r="B46" s="9" t="s">
        <v>271</v>
      </c>
      <c r="C46" s="6" t="s">
        <v>25</v>
      </c>
      <c r="D46" s="30">
        <v>44879</v>
      </c>
      <c r="E46" s="1" t="s">
        <v>273</v>
      </c>
      <c r="F46" s="20" t="s">
        <v>274</v>
      </c>
      <c r="G46" s="25" t="s">
        <v>275</v>
      </c>
      <c r="H46" s="18" t="s">
        <v>39</v>
      </c>
      <c r="I46" s="8">
        <v>1</v>
      </c>
      <c r="J46" s="6">
        <v>1</v>
      </c>
      <c r="K46" s="28">
        <f t="shared" si="3"/>
        <v>1</v>
      </c>
      <c r="L46" s="2" t="str">
        <f t="shared" si="4"/>
        <v>Bajo</v>
      </c>
      <c r="M46" s="31" t="s">
        <v>61</v>
      </c>
      <c r="N46" s="1" t="s">
        <v>76</v>
      </c>
      <c r="O46" s="71" t="s">
        <v>271</v>
      </c>
      <c r="P46" s="1" t="s">
        <v>176</v>
      </c>
      <c r="Q46" s="1" t="s">
        <v>276</v>
      </c>
      <c r="R46" s="1" t="s">
        <v>382</v>
      </c>
    </row>
    <row r="47" spans="1:18">
      <c r="A47" s="1">
        <f t="shared" si="2"/>
        <v>37</v>
      </c>
      <c r="B47" s="9" t="s">
        <v>272</v>
      </c>
      <c r="C47" s="6" t="s">
        <v>25</v>
      </c>
      <c r="D47" s="30">
        <v>44879</v>
      </c>
      <c r="E47" s="1" t="s">
        <v>277</v>
      </c>
      <c r="F47" s="20" t="s">
        <v>193</v>
      </c>
      <c r="G47" s="25" t="s">
        <v>195</v>
      </c>
      <c r="H47" s="18" t="s">
        <v>39</v>
      </c>
      <c r="I47" s="8">
        <v>1</v>
      </c>
      <c r="J47" s="6">
        <v>1</v>
      </c>
      <c r="K47" s="28">
        <f t="shared" si="3"/>
        <v>1</v>
      </c>
      <c r="L47" s="2" t="str">
        <f t="shared" si="4"/>
        <v>Bajo</v>
      </c>
      <c r="M47" s="31" t="s">
        <v>61</v>
      </c>
      <c r="N47" s="1" t="s">
        <v>94</v>
      </c>
      <c r="O47" s="71" t="s">
        <v>272</v>
      </c>
      <c r="P47" s="1" t="s">
        <v>176</v>
      </c>
      <c r="Q47" s="1" t="s">
        <v>276</v>
      </c>
      <c r="R47" s="1" t="s">
        <v>382</v>
      </c>
    </row>
    <row r="48" spans="1:18">
      <c r="A48" s="1">
        <f t="shared" si="2"/>
        <v>38</v>
      </c>
      <c r="B48" s="9" t="s">
        <v>278</v>
      </c>
      <c r="C48" s="6" t="s">
        <v>25</v>
      </c>
      <c r="D48" s="30">
        <v>44887</v>
      </c>
      <c r="E48" s="1" t="s">
        <v>279</v>
      </c>
      <c r="F48" s="1" t="s">
        <v>79</v>
      </c>
      <c r="G48" s="25" t="s">
        <v>280</v>
      </c>
      <c r="H48" s="1" t="s">
        <v>281</v>
      </c>
      <c r="I48" s="8">
        <v>2</v>
      </c>
      <c r="J48" s="6">
        <v>1</v>
      </c>
      <c r="K48" s="28">
        <f t="shared" si="3"/>
        <v>2</v>
      </c>
      <c r="L48" s="2" t="str">
        <f t="shared" si="4"/>
        <v>Bajo</v>
      </c>
      <c r="M48" s="31" t="s">
        <v>61</v>
      </c>
      <c r="N48" s="1" t="s">
        <v>94</v>
      </c>
      <c r="O48" s="71" t="s">
        <v>278</v>
      </c>
      <c r="P48" s="1" t="s">
        <v>177</v>
      </c>
      <c r="Q48" s="1" t="s">
        <v>276</v>
      </c>
      <c r="R48" s="1" t="s">
        <v>40</v>
      </c>
    </row>
    <row r="49" spans="1:18">
      <c r="A49" s="1">
        <f t="shared" si="2"/>
        <v>39</v>
      </c>
      <c r="B49" s="9" t="s">
        <v>282</v>
      </c>
      <c r="C49" s="6" t="s">
        <v>25</v>
      </c>
      <c r="D49" s="30">
        <v>44889</v>
      </c>
      <c r="E49" s="1" t="s">
        <v>284</v>
      </c>
      <c r="F49" s="20" t="s">
        <v>285</v>
      </c>
      <c r="G49" s="49" t="s">
        <v>286</v>
      </c>
      <c r="H49" s="18" t="s">
        <v>39</v>
      </c>
      <c r="I49" s="8">
        <v>1</v>
      </c>
      <c r="J49" s="6">
        <v>1</v>
      </c>
      <c r="K49" s="28">
        <f t="shared" si="3"/>
        <v>1</v>
      </c>
      <c r="L49" s="2" t="str">
        <f t="shared" si="4"/>
        <v>Bajo</v>
      </c>
      <c r="M49" s="31" t="s">
        <v>61</v>
      </c>
      <c r="N49" s="1" t="s">
        <v>76</v>
      </c>
      <c r="O49" s="71" t="s">
        <v>282</v>
      </c>
      <c r="P49" s="1" t="s">
        <v>176</v>
      </c>
      <c r="Q49" s="1" t="s">
        <v>276</v>
      </c>
      <c r="R49" s="1" t="s">
        <v>383</v>
      </c>
    </row>
    <row r="50" spans="1:18">
      <c r="A50" s="1">
        <f t="shared" si="2"/>
        <v>40</v>
      </c>
      <c r="B50" s="9" t="s">
        <v>283</v>
      </c>
      <c r="C50" s="6" t="s">
        <v>25</v>
      </c>
      <c r="D50" s="30">
        <v>44890</v>
      </c>
      <c r="E50" s="1" t="s">
        <v>287</v>
      </c>
      <c r="F50" s="20" t="s">
        <v>288</v>
      </c>
      <c r="G50" s="25" t="s">
        <v>289</v>
      </c>
      <c r="H50" s="18" t="s">
        <v>39</v>
      </c>
      <c r="I50" s="8">
        <v>1</v>
      </c>
      <c r="J50" s="6">
        <v>1</v>
      </c>
      <c r="K50" s="28">
        <f t="shared" si="3"/>
        <v>1</v>
      </c>
      <c r="L50" s="2" t="str">
        <f t="shared" si="4"/>
        <v>Bajo</v>
      </c>
      <c r="M50" s="31" t="s">
        <v>61</v>
      </c>
      <c r="N50" s="1" t="s">
        <v>94</v>
      </c>
      <c r="O50" s="71" t="s">
        <v>283</v>
      </c>
      <c r="P50" s="1" t="s">
        <v>176</v>
      </c>
      <c r="Q50" s="1" t="s">
        <v>276</v>
      </c>
      <c r="R50" s="1" t="s">
        <v>383</v>
      </c>
    </row>
    <row r="51" spans="1:18">
      <c r="A51" s="1">
        <f t="shared" si="2"/>
        <v>41</v>
      </c>
      <c r="B51" s="9" t="s">
        <v>314</v>
      </c>
      <c r="C51" s="6" t="s">
        <v>25</v>
      </c>
      <c r="D51" s="30">
        <v>44896</v>
      </c>
      <c r="E51" s="1" t="s">
        <v>315</v>
      </c>
      <c r="F51" s="20" t="s">
        <v>316</v>
      </c>
      <c r="G51" s="25" t="s">
        <v>317</v>
      </c>
      <c r="H51" s="18" t="s">
        <v>39</v>
      </c>
      <c r="I51" s="8">
        <v>1</v>
      </c>
      <c r="J51" s="6">
        <v>1</v>
      </c>
      <c r="K51" s="28">
        <f t="shared" si="3"/>
        <v>1</v>
      </c>
      <c r="L51" s="2" t="str">
        <f t="shared" si="4"/>
        <v>Bajo</v>
      </c>
      <c r="M51" s="31" t="s">
        <v>61</v>
      </c>
      <c r="N51" s="1" t="s">
        <v>76</v>
      </c>
      <c r="O51" s="71" t="s">
        <v>314</v>
      </c>
      <c r="P51" s="1" t="s">
        <v>176</v>
      </c>
      <c r="Q51" s="1" t="s">
        <v>276</v>
      </c>
      <c r="R51" s="1" t="s">
        <v>382</v>
      </c>
    </row>
    <row r="52" spans="1:18">
      <c r="A52" s="1">
        <f t="shared" si="2"/>
        <v>42</v>
      </c>
      <c r="B52" s="9" t="s">
        <v>330</v>
      </c>
      <c r="C52" s="6" t="s">
        <v>25</v>
      </c>
      <c r="D52" s="30">
        <v>44901</v>
      </c>
      <c r="E52" s="1" t="s">
        <v>331</v>
      </c>
      <c r="F52" s="20" t="s">
        <v>332</v>
      </c>
      <c r="G52" s="51" t="s">
        <v>333</v>
      </c>
      <c r="H52" s="18" t="s">
        <v>39</v>
      </c>
      <c r="I52" s="8">
        <v>1</v>
      </c>
      <c r="J52" s="6">
        <v>1</v>
      </c>
      <c r="K52" s="28">
        <f t="shared" si="3"/>
        <v>1</v>
      </c>
      <c r="L52" s="2" t="str">
        <f t="shared" si="4"/>
        <v>Bajo</v>
      </c>
      <c r="M52" s="31" t="s">
        <v>61</v>
      </c>
      <c r="N52" s="1" t="s">
        <v>76</v>
      </c>
      <c r="O52" s="71" t="s">
        <v>330</v>
      </c>
      <c r="P52" s="1" t="s">
        <v>176</v>
      </c>
      <c r="Q52" s="1" t="s">
        <v>276</v>
      </c>
      <c r="R52" s="1" t="s">
        <v>383</v>
      </c>
    </row>
    <row r="53" spans="1:18">
      <c r="A53" s="1">
        <f t="shared" si="2"/>
        <v>43</v>
      </c>
      <c r="B53" s="9" t="s">
        <v>318</v>
      </c>
      <c r="C53" s="6" t="s">
        <v>25</v>
      </c>
      <c r="D53" s="30">
        <v>44903</v>
      </c>
      <c r="E53" s="1" t="s">
        <v>319</v>
      </c>
      <c r="F53" s="1" t="s">
        <v>79</v>
      </c>
      <c r="G53" s="25" t="s">
        <v>320</v>
      </c>
      <c r="H53" s="18" t="s">
        <v>39</v>
      </c>
      <c r="I53" s="8">
        <v>1</v>
      </c>
      <c r="J53" s="6">
        <v>1</v>
      </c>
      <c r="K53" s="28">
        <f t="shared" si="3"/>
        <v>1</v>
      </c>
      <c r="L53" s="2" t="str">
        <f t="shared" si="4"/>
        <v>Bajo</v>
      </c>
      <c r="M53" s="31" t="s">
        <v>61</v>
      </c>
      <c r="N53" s="1" t="s">
        <v>76</v>
      </c>
      <c r="O53" s="71" t="s">
        <v>318</v>
      </c>
      <c r="P53" s="1" t="s">
        <v>177</v>
      </c>
      <c r="Q53" s="1" t="s">
        <v>276</v>
      </c>
      <c r="R53" s="1" t="s">
        <v>383</v>
      </c>
    </row>
    <row r="54" spans="1:18">
      <c r="A54" s="1">
        <f t="shared" si="2"/>
        <v>44</v>
      </c>
      <c r="B54" s="9" t="s">
        <v>336</v>
      </c>
      <c r="C54" s="6" t="s">
        <v>24</v>
      </c>
      <c r="D54" s="30">
        <v>44907</v>
      </c>
      <c r="E54" s="1" t="s">
        <v>354</v>
      </c>
      <c r="F54" s="20" t="s">
        <v>337</v>
      </c>
      <c r="G54" s="1" t="s">
        <v>79</v>
      </c>
      <c r="H54" s="1" t="s">
        <v>338</v>
      </c>
      <c r="I54" s="8">
        <v>1</v>
      </c>
      <c r="J54" s="6">
        <v>2</v>
      </c>
      <c r="K54" s="28">
        <f t="shared" si="3"/>
        <v>2</v>
      </c>
      <c r="L54" s="2" t="str">
        <f t="shared" si="4"/>
        <v>Bajo</v>
      </c>
      <c r="M54" s="31" t="s">
        <v>61</v>
      </c>
      <c r="N54" s="1" t="s">
        <v>339</v>
      </c>
      <c r="O54" s="71" t="s">
        <v>336</v>
      </c>
      <c r="P54" s="1" t="s">
        <v>179</v>
      </c>
      <c r="Q54" s="1" t="s">
        <v>172</v>
      </c>
      <c r="R54" s="1" t="s">
        <v>383</v>
      </c>
    </row>
    <row r="55" spans="1:18">
      <c r="A55" s="1">
        <f t="shared" si="2"/>
        <v>45</v>
      </c>
      <c r="B55" s="9" t="s">
        <v>341</v>
      </c>
      <c r="C55" s="6" t="s">
        <v>24</v>
      </c>
      <c r="D55" s="30">
        <v>44907</v>
      </c>
      <c r="E55" s="1" t="s">
        <v>354</v>
      </c>
      <c r="F55" s="20" t="s">
        <v>337</v>
      </c>
      <c r="G55" s="1" t="s">
        <v>79</v>
      </c>
      <c r="H55" s="1" t="s">
        <v>342</v>
      </c>
      <c r="I55" s="8">
        <v>1</v>
      </c>
      <c r="J55" s="6">
        <v>1</v>
      </c>
      <c r="K55" s="28">
        <f t="shared" si="3"/>
        <v>1</v>
      </c>
      <c r="L55" s="2" t="str">
        <f t="shared" si="4"/>
        <v>Bajo</v>
      </c>
      <c r="M55" s="31" t="s">
        <v>61</v>
      </c>
      <c r="N55" s="1" t="s">
        <v>340</v>
      </c>
      <c r="O55" s="71" t="s">
        <v>341</v>
      </c>
      <c r="P55" s="1" t="s">
        <v>179</v>
      </c>
      <c r="Q55" s="1" t="s">
        <v>172</v>
      </c>
      <c r="R55" s="1" t="s">
        <v>383</v>
      </c>
    </row>
    <row r="56" spans="1:18">
      <c r="A56" s="1">
        <f t="shared" si="2"/>
        <v>46</v>
      </c>
      <c r="B56" s="9" t="s">
        <v>343</v>
      </c>
      <c r="C56" s="6" t="s">
        <v>25</v>
      </c>
      <c r="D56" s="30">
        <v>44921</v>
      </c>
      <c r="E56" s="1" t="s">
        <v>344</v>
      </c>
      <c r="F56" s="20" t="s">
        <v>355</v>
      </c>
      <c r="G56" s="25" t="s">
        <v>345</v>
      </c>
      <c r="H56" s="18" t="s">
        <v>39</v>
      </c>
      <c r="I56" s="8">
        <v>2</v>
      </c>
      <c r="J56" s="6">
        <v>1</v>
      </c>
      <c r="K56" s="28">
        <f t="shared" si="3"/>
        <v>2</v>
      </c>
      <c r="L56" s="2" t="str">
        <f t="shared" si="4"/>
        <v>Bajo</v>
      </c>
      <c r="M56" s="31" t="s">
        <v>61</v>
      </c>
      <c r="N56" s="1" t="s">
        <v>94</v>
      </c>
      <c r="O56" s="71" t="s">
        <v>343</v>
      </c>
      <c r="P56" s="1" t="s">
        <v>176</v>
      </c>
      <c r="Q56" s="1" t="s">
        <v>276</v>
      </c>
      <c r="R56" s="1" t="s">
        <v>382</v>
      </c>
    </row>
    <row r="57" spans="1:18">
      <c r="A57" s="1">
        <f t="shared" si="2"/>
        <v>47</v>
      </c>
      <c r="B57" s="9" t="s">
        <v>346</v>
      </c>
      <c r="C57" s="6" t="s">
        <v>25</v>
      </c>
      <c r="D57" s="30">
        <v>44954</v>
      </c>
      <c r="E57" s="1" t="s">
        <v>347</v>
      </c>
      <c r="F57" s="20" t="s">
        <v>348</v>
      </c>
      <c r="G57" s="52" t="s">
        <v>349</v>
      </c>
      <c r="H57" s="1" t="s">
        <v>350</v>
      </c>
      <c r="I57" s="8">
        <v>1</v>
      </c>
      <c r="J57" s="6">
        <v>1</v>
      </c>
      <c r="K57" s="28">
        <f t="shared" si="3"/>
        <v>1</v>
      </c>
      <c r="L57" s="2" t="str">
        <f t="shared" si="4"/>
        <v>Bajo</v>
      </c>
      <c r="M57" s="31" t="s">
        <v>61</v>
      </c>
      <c r="N57" s="1" t="s">
        <v>94</v>
      </c>
      <c r="O57" s="71" t="s">
        <v>346</v>
      </c>
      <c r="P57" s="1" t="s">
        <v>176</v>
      </c>
      <c r="Q57" s="1" t="s">
        <v>276</v>
      </c>
      <c r="R57" s="1" t="s">
        <v>382</v>
      </c>
    </row>
    <row r="58" spans="1:18">
      <c r="A58" s="1">
        <f t="shared" si="2"/>
        <v>48</v>
      </c>
      <c r="B58" s="9" t="s">
        <v>351</v>
      </c>
      <c r="C58" s="6" t="s">
        <v>25</v>
      </c>
      <c r="D58" s="30">
        <v>44958</v>
      </c>
      <c r="E58" s="1" t="s">
        <v>352</v>
      </c>
      <c r="F58" s="20" t="s">
        <v>356</v>
      </c>
      <c r="G58" s="52" t="s">
        <v>353</v>
      </c>
      <c r="H58" s="1" t="s">
        <v>350</v>
      </c>
      <c r="I58" s="8">
        <v>1</v>
      </c>
      <c r="J58" s="6">
        <v>1</v>
      </c>
      <c r="K58" s="28">
        <f t="shared" si="3"/>
        <v>1</v>
      </c>
      <c r="L58" s="2" t="str">
        <f t="shared" si="4"/>
        <v>Bajo</v>
      </c>
      <c r="M58" s="31" t="s">
        <v>61</v>
      </c>
      <c r="N58" s="1" t="s">
        <v>94</v>
      </c>
      <c r="O58" s="71" t="s">
        <v>351</v>
      </c>
      <c r="P58" s="1" t="s">
        <v>176</v>
      </c>
      <c r="Q58" s="1" t="s">
        <v>173</v>
      </c>
      <c r="R58" s="1" t="s">
        <v>382</v>
      </c>
    </row>
    <row r="59" spans="1:18">
      <c r="A59" s="39">
        <f t="shared" si="2"/>
        <v>49</v>
      </c>
      <c r="B59" s="84" t="s">
        <v>384</v>
      </c>
      <c r="C59" s="82" t="s">
        <v>25</v>
      </c>
      <c r="D59" s="83">
        <v>44967</v>
      </c>
      <c r="E59" s="39" t="s">
        <v>385</v>
      </c>
      <c r="F59" s="17" t="s">
        <v>386</v>
      </c>
      <c r="G59" s="25" t="s">
        <v>387</v>
      </c>
      <c r="H59" s="1" t="s">
        <v>350</v>
      </c>
      <c r="I59" s="8">
        <v>2</v>
      </c>
      <c r="J59" s="6">
        <v>2</v>
      </c>
      <c r="K59" s="28">
        <f t="shared" si="3"/>
        <v>4</v>
      </c>
      <c r="L59" s="2" t="str">
        <f t="shared" si="4"/>
        <v>Medio</v>
      </c>
      <c r="M59" s="31" t="s">
        <v>61</v>
      </c>
      <c r="N59" s="1" t="s">
        <v>94</v>
      </c>
      <c r="O59" s="71" t="s">
        <v>384</v>
      </c>
      <c r="P59" s="1" t="s">
        <v>176</v>
      </c>
      <c r="Q59" s="1" t="s">
        <v>276</v>
      </c>
      <c r="R59" s="1" t="s">
        <v>388</v>
      </c>
    </row>
    <row r="60" spans="1:18">
      <c r="A60" s="1">
        <f t="shared" si="2"/>
        <v>50</v>
      </c>
      <c r="B60" s="9" t="s">
        <v>389</v>
      </c>
      <c r="C60" s="6" t="s">
        <v>25</v>
      </c>
      <c r="D60" s="30">
        <v>44970</v>
      </c>
      <c r="E60" s="1" t="s">
        <v>385</v>
      </c>
      <c r="F60" s="20" t="s">
        <v>386</v>
      </c>
      <c r="G60" s="25" t="s">
        <v>387</v>
      </c>
      <c r="H60" s="1" t="s">
        <v>350</v>
      </c>
      <c r="I60" s="8">
        <v>1</v>
      </c>
      <c r="J60" s="6">
        <v>1</v>
      </c>
      <c r="K60" s="6">
        <f t="shared" si="3"/>
        <v>1</v>
      </c>
      <c r="L60" s="2" t="str">
        <f t="shared" si="4"/>
        <v>Bajo</v>
      </c>
      <c r="M60" s="31" t="s">
        <v>61</v>
      </c>
      <c r="N60" s="1" t="s">
        <v>94</v>
      </c>
      <c r="O60" s="71" t="s">
        <v>389</v>
      </c>
      <c r="P60" s="1" t="s">
        <v>176</v>
      </c>
      <c r="Q60" s="1" t="s">
        <v>173</v>
      </c>
      <c r="R60" s="1" t="s">
        <v>388</v>
      </c>
    </row>
    <row r="61" spans="1:18">
      <c r="A61" s="1">
        <f t="shared" si="2"/>
        <v>51</v>
      </c>
      <c r="B61" s="9" t="s">
        <v>390</v>
      </c>
      <c r="C61" s="6" t="s">
        <v>25</v>
      </c>
      <c r="D61" s="30">
        <v>44970</v>
      </c>
      <c r="E61" s="1" t="s">
        <v>391</v>
      </c>
      <c r="F61" s="20" t="s">
        <v>392</v>
      </c>
      <c r="G61" s="25" t="s">
        <v>393</v>
      </c>
      <c r="H61" s="1" t="s">
        <v>350</v>
      </c>
      <c r="I61" s="8">
        <v>1</v>
      </c>
      <c r="J61" s="6">
        <v>1</v>
      </c>
      <c r="K61" s="6">
        <f t="shared" si="3"/>
        <v>1</v>
      </c>
      <c r="L61" s="2" t="str">
        <f t="shared" si="4"/>
        <v>Bajo</v>
      </c>
      <c r="M61" s="31" t="s">
        <v>61</v>
      </c>
      <c r="N61" s="1" t="s">
        <v>94</v>
      </c>
      <c r="O61" s="71" t="s">
        <v>390</v>
      </c>
      <c r="P61" s="1" t="s">
        <v>176</v>
      </c>
      <c r="Q61" s="1" t="s">
        <v>173</v>
      </c>
      <c r="R61" s="1" t="s">
        <v>383</v>
      </c>
    </row>
    <row r="62" spans="1:18">
      <c r="A62" s="65">
        <f t="shared" si="2"/>
        <v>52</v>
      </c>
      <c r="B62" s="66" t="s">
        <v>395</v>
      </c>
      <c r="C62" s="67" t="s">
        <v>25</v>
      </c>
      <c r="D62" s="68">
        <v>44972</v>
      </c>
      <c r="E62" s="65" t="s">
        <v>396</v>
      </c>
      <c r="F62" s="69" t="s">
        <v>397</v>
      </c>
      <c r="G62" s="25" t="s">
        <v>398</v>
      </c>
      <c r="H62" s="1" t="s">
        <v>350</v>
      </c>
      <c r="I62" s="8">
        <v>1</v>
      </c>
      <c r="J62" s="6">
        <v>1</v>
      </c>
      <c r="K62" s="6">
        <f t="shared" ref="K62:K80" si="5">I62*J62</f>
        <v>1</v>
      </c>
      <c r="L62" s="2" t="str">
        <f t="shared" si="4"/>
        <v>Bajo</v>
      </c>
      <c r="M62" s="31" t="s">
        <v>103</v>
      </c>
      <c r="N62" s="1" t="s">
        <v>94</v>
      </c>
      <c r="O62" s="74" t="s">
        <v>395</v>
      </c>
      <c r="P62" s="1" t="s">
        <v>176</v>
      </c>
      <c r="Q62" s="1" t="s">
        <v>173</v>
      </c>
      <c r="R62" s="1" t="s">
        <v>388</v>
      </c>
    </row>
    <row r="63" spans="1:18">
      <c r="A63" s="39">
        <f t="shared" si="2"/>
        <v>53</v>
      </c>
      <c r="B63" s="84" t="s">
        <v>402</v>
      </c>
      <c r="C63" s="82" t="s">
        <v>25</v>
      </c>
      <c r="D63" s="83">
        <v>44979</v>
      </c>
      <c r="E63" s="39" t="s">
        <v>399</v>
      </c>
      <c r="F63" s="17" t="s">
        <v>401</v>
      </c>
      <c r="G63" s="25" t="s">
        <v>400</v>
      </c>
      <c r="H63" s="1" t="s">
        <v>350</v>
      </c>
      <c r="I63" s="8">
        <v>1</v>
      </c>
      <c r="J63" s="6">
        <v>2</v>
      </c>
      <c r="K63" s="6">
        <f t="shared" si="5"/>
        <v>2</v>
      </c>
      <c r="L63" s="2" t="str">
        <f t="shared" ref="L63:L80" si="6">IF(K63=1,"Bajo",IF(K63=2,"Bajo",IF(K63=3,"Medio",IF(K63=4,"Medio",IF(K63=6,"Alto",IF(K63=9,"Alto"))))))</f>
        <v>Bajo</v>
      </c>
      <c r="M63" s="31" t="s">
        <v>61</v>
      </c>
      <c r="N63" s="1" t="s">
        <v>94</v>
      </c>
      <c r="O63" s="74" t="s">
        <v>402</v>
      </c>
      <c r="P63" s="1" t="s">
        <v>176</v>
      </c>
      <c r="Q63" s="1" t="s">
        <v>173</v>
      </c>
      <c r="R63" s="1" t="s">
        <v>383</v>
      </c>
    </row>
    <row r="64" spans="1:18">
      <c r="A64" s="65">
        <f t="shared" si="2"/>
        <v>54</v>
      </c>
      <c r="B64" s="66" t="s">
        <v>404</v>
      </c>
      <c r="C64" s="67" t="s">
        <v>25</v>
      </c>
      <c r="D64" s="68">
        <v>44988</v>
      </c>
      <c r="E64" s="65" t="s">
        <v>403</v>
      </c>
      <c r="F64" s="69" t="s">
        <v>405</v>
      </c>
      <c r="G64" s="25" t="s">
        <v>406</v>
      </c>
      <c r="H64" s="1" t="s">
        <v>350</v>
      </c>
      <c r="I64" s="8">
        <v>1</v>
      </c>
      <c r="J64" s="6">
        <v>1</v>
      </c>
      <c r="K64" s="6">
        <f t="shared" si="5"/>
        <v>1</v>
      </c>
      <c r="L64" s="2" t="str">
        <f t="shared" si="6"/>
        <v>Bajo</v>
      </c>
      <c r="M64" s="31" t="s">
        <v>103</v>
      </c>
      <c r="N64" s="1" t="s">
        <v>94</v>
      </c>
      <c r="O64" s="74" t="s">
        <v>404</v>
      </c>
      <c r="P64" s="1" t="s">
        <v>176</v>
      </c>
      <c r="Q64" s="1" t="s">
        <v>173</v>
      </c>
      <c r="R64" s="1" t="s">
        <v>383</v>
      </c>
    </row>
    <row r="65" spans="1:18">
      <c r="A65" s="65">
        <f t="shared" si="2"/>
        <v>55</v>
      </c>
      <c r="B65" s="66" t="s">
        <v>394</v>
      </c>
      <c r="C65" s="67" t="s">
        <v>24</v>
      </c>
      <c r="D65" s="68">
        <v>44993</v>
      </c>
      <c r="E65" s="65" t="s">
        <v>410</v>
      </c>
      <c r="F65" s="65" t="s">
        <v>79</v>
      </c>
      <c r="G65" s="1" t="s">
        <v>79</v>
      </c>
      <c r="H65" s="1" t="s">
        <v>350</v>
      </c>
      <c r="I65" s="8">
        <v>1</v>
      </c>
      <c r="J65" s="6">
        <v>1</v>
      </c>
      <c r="K65" s="6">
        <f t="shared" si="5"/>
        <v>1</v>
      </c>
      <c r="L65" s="2" t="str">
        <f t="shared" si="6"/>
        <v>Bajo</v>
      </c>
      <c r="M65" s="31" t="s">
        <v>61</v>
      </c>
      <c r="N65" s="1" t="s">
        <v>94</v>
      </c>
      <c r="O65" s="74" t="s">
        <v>394</v>
      </c>
      <c r="P65" s="1" t="s">
        <v>176</v>
      </c>
      <c r="Q65" s="1" t="s">
        <v>173</v>
      </c>
      <c r="R65" s="1" t="s">
        <v>409</v>
      </c>
    </row>
    <row r="66" spans="1:18">
      <c r="A66" s="1">
        <f t="shared" si="2"/>
        <v>56</v>
      </c>
      <c r="B66" s="9" t="s">
        <v>407</v>
      </c>
      <c r="C66" s="6" t="s">
        <v>25</v>
      </c>
      <c r="D66" s="30">
        <v>44993</v>
      </c>
      <c r="E66" s="1" t="s">
        <v>411</v>
      </c>
      <c r="F66" s="20" t="s">
        <v>412</v>
      </c>
      <c r="G66" s="25" t="s">
        <v>413</v>
      </c>
      <c r="H66" s="1" t="s">
        <v>350</v>
      </c>
      <c r="I66" s="8">
        <v>1</v>
      </c>
      <c r="J66" s="6">
        <v>1</v>
      </c>
      <c r="K66" s="6">
        <f t="shared" si="5"/>
        <v>1</v>
      </c>
      <c r="L66" s="2" t="str">
        <f t="shared" si="6"/>
        <v>Bajo</v>
      </c>
      <c r="M66" s="31" t="s">
        <v>61</v>
      </c>
      <c r="N66" s="1" t="s">
        <v>94</v>
      </c>
      <c r="O66" s="74" t="s">
        <v>407</v>
      </c>
      <c r="P66" s="1" t="s">
        <v>176</v>
      </c>
      <c r="Q66" s="1" t="s">
        <v>173</v>
      </c>
      <c r="R66" s="1" t="s">
        <v>388</v>
      </c>
    </row>
    <row r="67" spans="1:18">
      <c r="A67" s="39">
        <f t="shared" si="2"/>
        <v>57</v>
      </c>
      <c r="B67" s="84" t="s">
        <v>415</v>
      </c>
      <c r="C67" s="82" t="s">
        <v>25</v>
      </c>
      <c r="D67" s="83">
        <v>44993</v>
      </c>
      <c r="E67" s="39" t="s">
        <v>414</v>
      </c>
      <c r="F67" s="17" t="s">
        <v>416</v>
      </c>
      <c r="G67" s="25" t="s">
        <v>417</v>
      </c>
      <c r="H67" s="1" t="s">
        <v>350</v>
      </c>
      <c r="I67" s="8">
        <v>1</v>
      </c>
      <c r="J67" s="6">
        <v>2</v>
      </c>
      <c r="K67" s="6">
        <f t="shared" si="5"/>
        <v>2</v>
      </c>
      <c r="L67" s="2" t="str">
        <f t="shared" si="6"/>
        <v>Bajo</v>
      </c>
      <c r="M67" s="31" t="s">
        <v>61</v>
      </c>
      <c r="N67" s="1" t="s">
        <v>94</v>
      </c>
      <c r="O67" s="74" t="s">
        <v>415</v>
      </c>
      <c r="P67" s="1" t="s">
        <v>176</v>
      </c>
      <c r="Q67" s="1" t="s">
        <v>173</v>
      </c>
      <c r="R67" s="1" t="s">
        <v>383</v>
      </c>
    </row>
    <row r="68" spans="1:18">
      <c r="A68" s="1">
        <f t="shared" si="2"/>
        <v>58</v>
      </c>
      <c r="B68" s="9" t="s">
        <v>418</v>
      </c>
      <c r="C68" s="6" t="s">
        <v>25</v>
      </c>
      <c r="D68" s="30">
        <v>44994</v>
      </c>
      <c r="E68" s="1" t="s">
        <v>411</v>
      </c>
      <c r="F68" s="20" t="s">
        <v>412</v>
      </c>
      <c r="G68" s="25" t="s">
        <v>413</v>
      </c>
      <c r="H68" s="1" t="s">
        <v>350</v>
      </c>
      <c r="I68" s="8">
        <v>1</v>
      </c>
      <c r="J68" s="6">
        <v>1</v>
      </c>
      <c r="K68" s="6">
        <f t="shared" si="5"/>
        <v>1</v>
      </c>
      <c r="L68" s="2" t="str">
        <f t="shared" si="6"/>
        <v>Bajo</v>
      </c>
      <c r="M68" s="31" t="s">
        <v>61</v>
      </c>
      <c r="N68" s="1" t="s">
        <v>94</v>
      </c>
      <c r="O68" s="74" t="s">
        <v>418</v>
      </c>
      <c r="P68" s="1" t="s">
        <v>176</v>
      </c>
      <c r="Q68" s="1" t="s">
        <v>173</v>
      </c>
      <c r="R68" s="1" t="s">
        <v>388</v>
      </c>
    </row>
    <row r="69" spans="1:18">
      <c r="A69" s="39">
        <f t="shared" si="2"/>
        <v>59</v>
      </c>
      <c r="B69" s="84" t="s">
        <v>419</v>
      </c>
      <c r="C69" s="82" t="s">
        <v>25</v>
      </c>
      <c r="D69" s="83">
        <v>44995</v>
      </c>
      <c r="E69" s="39" t="s">
        <v>420</v>
      </c>
      <c r="F69" s="17" t="s">
        <v>421</v>
      </c>
      <c r="G69" s="25" t="s">
        <v>422</v>
      </c>
      <c r="H69" s="1" t="s">
        <v>350</v>
      </c>
      <c r="I69" s="8">
        <v>1</v>
      </c>
      <c r="J69" s="6">
        <v>2</v>
      </c>
      <c r="K69" s="6">
        <f t="shared" si="5"/>
        <v>2</v>
      </c>
      <c r="L69" s="2" t="str">
        <f t="shared" si="6"/>
        <v>Bajo</v>
      </c>
      <c r="M69" s="31" t="s">
        <v>61</v>
      </c>
      <c r="N69" s="1" t="s">
        <v>94</v>
      </c>
      <c r="O69" s="74" t="s">
        <v>419</v>
      </c>
      <c r="P69" s="1" t="s">
        <v>176</v>
      </c>
      <c r="Q69" s="1" t="s">
        <v>173</v>
      </c>
      <c r="R69" s="1" t="s">
        <v>383</v>
      </c>
    </row>
    <row r="70" spans="1:18">
      <c r="A70" s="39">
        <f t="shared" si="2"/>
        <v>60</v>
      </c>
      <c r="B70" s="84" t="s">
        <v>423</v>
      </c>
      <c r="C70" s="82" t="s">
        <v>25</v>
      </c>
      <c r="D70" s="83">
        <v>44999</v>
      </c>
      <c r="E70" s="39" t="s">
        <v>424</v>
      </c>
      <c r="F70" s="17" t="s">
        <v>425</v>
      </c>
      <c r="G70" s="25" t="s">
        <v>426</v>
      </c>
      <c r="H70" s="1" t="s">
        <v>350</v>
      </c>
      <c r="I70" s="8">
        <v>1</v>
      </c>
      <c r="J70" s="6">
        <v>2</v>
      </c>
      <c r="K70" s="6">
        <f t="shared" si="5"/>
        <v>2</v>
      </c>
      <c r="L70" s="2" t="str">
        <f t="shared" si="6"/>
        <v>Bajo</v>
      </c>
      <c r="M70" s="31" t="s">
        <v>61</v>
      </c>
      <c r="N70" s="1" t="s">
        <v>94</v>
      </c>
      <c r="O70" s="74" t="s">
        <v>423</v>
      </c>
      <c r="P70" s="1" t="s">
        <v>176</v>
      </c>
      <c r="Q70" s="1" t="s">
        <v>173</v>
      </c>
      <c r="R70" s="1" t="s">
        <v>383</v>
      </c>
    </row>
    <row r="71" spans="1:18">
      <c r="A71" s="1">
        <f t="shared" si="2"/>
        <v>61</v>
      </c>
      <c r="B71" s="9" t="s">
        <v>428</v>
      </c>
      <c r="C71" s="6" t="s">
        <v>26</v>
      </c>
      <c r="D71" s="30">
        <v>44999</v>
      </c>
      <c r="E71" s="1" t="s">
        <v>429</v>
      </c>
      <c r="F71" s="20" t="s">
        <v>430</v>
      </c>
      <c r="G71" s="25" t="s">
        <v>427</v>
      </c>
      <c r="H71" s="1" t="s">
        <v>350</v>
      </c>
      <c r="I71" s="8">
        <v>1</v>
      </c>
      <c r="J71" s="6">
        <v>1</v>
      </c>
      <c r="K71" s="6">
        <f t="shared" si="5"/>
        <v>1</v>
      </c>
      <c r="L71" s="2" t="str">
        <f t="shared" si="6"/>
        <v>Bajo</v>
      </c>
      <c r="M71" s="31" t="s">
        <v>61</v>
      </c>
      <c r="N71" s="1" t="s">
        <v>94</v>
      </c>
      <c r="O71" s="74" t="s">
        <v>428</v>
      </c>
      <c r="P71" s="1" t="s">
        <v>176</v>
      </c>
      <c r="Q71" s="1" t="s">
        <v>173</v>
      </c>
      <c r="R71" s="1" t="s">
        <v>388</v>
      </c>
    </row>
    <row r="72" spans="1:18">
      <c r="A72" s="1">
        <f t="shared" si="2"/>
        <v>62</v>
      </c>
      <c r="B72" s="9" t="s">
        <v>431</v>
      </c>
      <c r="C72" s="6" t="s">
        <v>25</v>
      </c>
      <c r="D72" s="30">
        <v>45005</v>
      </c>
      <c r="E72" s="1" t="s">
        <v>456</v>
      </c>
      <c r="F72" s="20" t="s">
        <v>432</v>
      </c>
      <c r="G72" s="25" t="s">
        <v>433</v>
      </c>
      <c r="H72" s="1" t="s">
        <v>350</v>
      </c>
      <c r="I72" s="8">
        <v>1</v>
      </c>
      <c r="J72" s="6">
        <v>1</v>
      </c>
      <c r="K72" s="6">
        <f t="shared" si="5"/>
        <v>1</v>
      </c>
      <c r="L72" s="2" t="str">
        <f t="shared" si="6"/>
        <v>Bajo</v>
      </c>
      <c r="M72" s="31" t="s">
        <v>61</v>
      </c>
      <c r="N72" s="1" t="s">
        <v>94</v>
      </c>
      <c r="O72" s="74" t="s">
        <v>431</v>
      </c>
      <c r="P72" s="1" t="s">
        <v>176</v>
      </c>
      <c r="Q72" s="1" t="s">
        <v>173</v>
      </c>
      <c r="R72" s="1" t="s">
        <v>383</v>
      </c>
    </row>
    <row r="73" spans="1:18">
      <c r="A73" s="1">
        <f t="shared" si="2"/>
        <v>63</v>
      </c>
      <c r="B73" s="9" t="s">
        <v>434</v>
      </c>
      <c r="C73" s="6" t="s">
        <v>25</v>
      </c>
      <c r="D73" s="30">
        <v>45006</v>
      </c>
      <c r="E73" s="1" t="s">
        <v>456</v>
      </c>
      <c r="F73" s="20" t="s">
        <v>435</v>
      </c>
      <c r="G73" s="25" t="s">
        <v>433</v>
      </c>
      <c r="H73" s="1" t="s">
        <v>350</v>
      </c>
      <c r="I73" s="8">
        <v>1</v>
      </c>
      <c r="J73" s="6">
        <v>1</v>
      </c>
      <c r="K73" s="6">
        <f t="shared" si="5"/>
        <v>1</v>
      </c>
      <c r="L73" s="2" t="str">
        <f t="shared" si="6"/>
        <v>Bajo</v>
      </c>
      <c r="M73" s="31" t="s">
        <v>61</v>
      </c>
      <c r="N73" s="1" t="s">
        <v>94</v>
      </c>
      <c r="O73" s="74" t="s">
        <v>434</v>
      </c>
      <c r="P73" s="1" t="s">
        <v>176</v>
      </c>
      <c r="Q73" s="1" t="s">
        <v>173</v>
      </c>
      <c r="R73" s="1" t="s">
        <v>383</v>
      </c>
    </row>
    <row r="74" spans="1:18">
      <c r="A74" s="1">
        <f t="shared" si="2"/>
        <v>64</v>
      </c>
      <c r="B74" s="9" t="s">
        <v>437</v>
      </c>
      <c r="C74" s="6" t="s">
        <v>25</v>
      </c>
      <c r="D74" s="30">
        <v>45014</v>
      </c>
      <c r="E74" s="1" t="s">
        <v>436</v>
      </c>
      <c r="F74" s="20" t="s">
        <v>439</v>
      </c>
      <c r="G74" s="25" t="s">
        <v>438</v>
      </c>
      <c r="H74" s="1" t="s">
        <v>350</v>
      </c>
      <c r="I74" s="8">
        <v>1</v>
      </c>
      <c r="J74" s="6">
        <v>1</v>
      </c>
      <c r="K74" s="6">
        <f t="shared" si="5"/>
        <v>1</v>
      </c>
      <c r="L74" s="2" t="str">
        <f t="shared" si="6"/>
        <v>Bajo</v>
      </c>
      <c r="M74" s="31" t="s">
        <v>61</v>
      </c>
      <c r="N74" s="1" t="s">
        <v>94</v>
      </c>
      <c r="O74" s="74" t="s">
        <v>437</v>
      </c>
      <c r="P74" s="1" t="s">
        <v>176</v>
      </c>
      <c r="Q74" s="1" t="s">
        <v>173</v>
      </c>
      <c r="R74" s="1" t="s">
        <v>383</v>
      </c>
    </row>
    <row r="75" spans="1:18">
      <c r="A75" s="57">
        <f t="shared" si="2"/>
        <v>65</v>
      </c>
      <c r="B75" s="57" t="s">
        <v>440</v>
      </c>
      <c r="C75" s="58" t="s">
        <v>26</v>
      </c>
      <c r="D75" s="30">
        <v>45014</v>
      </c>
      <c r="E75" s="57" t="s">
        <v>441</v>
      </c>
      <c r="F75" s="86" t="s">
        <v>442</v>
      </c>
      <c r="G75" s="59" t="s">
        <v>443</v>
      </c>
      <c r="H75" s="1" t="s">
        <v>350</v>
      </c>
      <c r="I75" s="8">
        <v>1</v>
      </c>
      <c r="J75" s="6">
        <v>1</v>
      </c>
      <c r="K75" s="6">
        <f t="shared" si="5"/>
        <v>1</v>
      </c>
      <c r="L75" s="2" t="str">
        <f t="shared" si="6"/>
        <v>Bajo</v>
      </c>
      <c r="M75" s="31" t="s">
        <v>61</v>
      </c>
      <c r="N75" s="1" t="s">
        <v>94</v>
      </c>
      <c r="O75" s="75" t="s">
        <v>440</v>
      </c>
      <c r="P75" s="1" t="s">
        <v>176</v>
      </c>
      <c r="Q75" s="1" t="s">
        <v>173</v>
      </c>
      <c r="R75" s="1" t="s">
        <v>382</v>
      </c>
    </row>
    <row r="76" spans="1:18">
      <c r="A76" s="57">
        <f t="shared" si="2"/>
        <v>66</v>
      </c>
      <c r="B76" s="57" t="s">
        <v>408</v>
      </c>
      <c r="C76" s="58" t="s">
        <v>24</v>
      </c>
      <c r="D76" s="30">
        <v>45015</v>
      </c>
      <c r="E76" s="1" t="s">
        <v>410</v>
      </c>
      <c r="F76" s="1" t="s">
        <v>79</v>
      </c>
      <c r="G76" s="1" t="s">
        <v>79</v>
      </c>
      <c r="H76" s="1" t="s">
        <v>338</v>
      </c>
      <c r="I76" s="6">
        <v>3</v>
      </c>
      <c r="J76" s="6">
        <v>3</v>
      </c>
      <c r="K76" s="6">
        <f t="shared" si="5"/>
        <v>9</v>
      </c>
      <c r="L76" s="2" t="str">
        <f t="shared" si="6"/>
        <v>Alto</v>
      </c>
      <c r="M76" s="31" t="s">
        <v>103</v>
      </c>
      <c r="N76" s="1" t="s">
        <v>339</v>
      </c>
      <c r="O76" s="71" t="s">
        <v>408</v>
      </c>
      <c r="P76" s="1" t="s">
        <v>179</v>
      </c>
      <c r="Q76" s="1" t="s">
        <v>172</v>
      </c>
      <c r="R76" s="1" t="s">
        <v>409</v>
      </c>
    </row>
    <row r="77" spans="1:18">
      <c r="A77" s="85">
        <f t="shared" si="2"/>
        <v>67</v>
      </c>
      <c r="B77" s="84" t="s">
        <v>445</v>
      </c>
      <c r="C77" s="82" t="s">
        <v>25</v>
      </c>
      <c r="D77" s="83">
        <v>45026</v>
      </c>
      <c r="E77" s="39" t="s">
        <v>444</v>
      </c>
      <c r="F77" s="17" t="s">
        <v>447</v>
      </c>
      <c r="G77" s="25" t="s">
        <v>446</v>
      </c>
      <c r="H77" s="1" t="s">
        <v>350</v>
      </c>
      <c r="I77" s="8">
        <v>1</v>
      </c>
      <c r="J77" s="6">
        <v>2</v>
      </c>
      <c r="K77" s="6">
        <f t="shared" si="5"/>
        <v>2</v>
      </c>
      <c r="L77" s="2" t="str">
        <f t="shared" si="6"/>
        <v>Bajo</v>
      </c>
      <c r="M77" s="31" t="s">
        <v>61</v>
      </c>
      <c r="N77" s="1" t="s">
        <v>94</v>
      </c>
      <c r="O77" s="74" t="s">
        <v>445</v>
      </c>
      <c r="P77" s="1" t="s">
        <v>176</v>
      </c>
      <c r="Q77" s="1" t="s">
        <v>173</v>
      </c>
      <c r="R77" s="1" t="s">
        <v>382</v>
      </c>
    </row>
    <row r="78" spans="1:18">
      <c r="A78" s="85">
        <f t="shared" si="2"/>
        <v>68</v>
      </c>
      <c r="B78" s="84" t="s">
        <v>450</v>
      </c>
      <c r="C78" s="82" t="s">
        <v>25</v>
      </c>
      <c r="D78" s="83">
        <v>45029</v>
      </c>
      <c r="E78" s="39" t="s">
        <v>451</v>
      </c>
      <c r="F78" s="17" t="s">
        <v>452</v>
      </c>
      <c r="G78" s="25" t="s">
        <v>453</v>
      </c>
      <c r="H78" s="1" t="s">
        <v>350</v>
      </c>
      <c r="I78" s="8">
        <v>1</v>
      </c>
      <c r="J78" s="6">
        <v>2</v>
      </c>
      <c r="K78" s="6">
        <f t="shared" si="5"/>
        <v>2</v>
      </c>
      <c r="L78" s="2" t="str">
        <f t="shared" si="6"/>
        <v>Bajo</v>
      </c>
      <c r="M78" s="31" t="s">
        <v>61</v>
      </c>
      <c r="N78" s="1" t="s">
        <v>94</v>
      </c>
      <c r="O78" s="74" t="s">
        <v>450</v>
      </c>
      <c r="P78" s="1" t="s">
        <v>176</v>
      </c>
      <c r="Q78" s="1" t="s">
        <v>173</v>
      </c>
      <c r="R78" s="1" t="s">
        <v>383</v>
      </c>
    </row>
    <row r="79" spans="1:18">
      <c r="A79" s="57">
        <f t="shared" si="2"/>
        <v>69</v>
      </c>
      <c r="B79" s="1" t="s">
        <v>454</v>
      </c>
      <c r="C79" s="6" t="s">
        <v>24</v>
      </c>
      <c r="D79" s="30">
        <v>45043</v>
      </c>
      <c r="E79" s="1" t="s">
        <v>410</v>
      </c>
      <c r="F79" s="1" t="s">
        <v>79</v>
      </c>
      <c r="G79" s="1" t="s">
        <v>79</v>
      </c>
      <c r="H79" s="1" t="s">
        <v>449</v>
      </c>
      <c r="I79" s="6">
        <v>3</v>
      </c>
      <c r="J79" s="6">
        <v>3</v>
      </c>
      <c r="K79" s="6">
        <f t="shared" si="5"/>
        <v>9</v>
      </c>
      <c r="L79" s="2" t="str">
        <f t="shared" si="6"/>
        <v>Alto</v>
      </c>
      <c r="M79" s="31" t="s">
        <v>103</v>
      </c>
      <c r="N79" s="1" t="s">
        <v>448</v>
      </c>
      <c r="O79" s="71" t="s">
        <v>454</v>
      </c>
      <c r="P79" s="1" t="s">
        <v>179</v>
      </c>
      <c r="Q79" s="1" t="s">
        <v>172</v>
      </c>
      <c r="R79" s="1" t="s">
        <v>409</v>
      </c>
    </row>
    <row r="80" spans="1:18">
      <c r="A80" s="57">
        <f t="shared" si="2"/>
        <v>70</v>
      </c>
      <c r="B80" s="1" t="s">
        <v>455</v>
      </c>
      <c r="C80" s="6" t="s">
        <v>25</v>
      </c>
      <c r="D80" s="30">
        <v>45051</v>
      </c>
      <c r="E80" s="1" t="s">
        <v>456</v>
      </c>
      <c r="F80" s="20" t="s">
        <v>432</v>
      </c>
      <c r="G80" s="25" t="s">
        <v>433</v>
      </c>
      <c r="H80" s="1" t="s">
        <v>350</v>
      </c>
      <c r="I80" s="8">
        <v>1</v>
      </c>
      <c r="J80" s="6">
        <v>1</v>
      </c>
      <c r="K80" s="6">
        <f t="shared" si="5"/>
        <v>1</v>
      </c>
      <c r="L80" s="2" t="str">
        <f t="shared" si="6"/>
        <v>Bajo</v>
      </c>
      <c r="M80" s="31" t="s">
        <v>61</v>
      </c>
      <c r="N80" s="1" t="s">
        <v>94</v>
      </c>
      <c r="O80" s="71" t="s">
        <v>455</v>
      </c>
      <c r="P80" s="1" t="s">
        <v>176</v>
      </c>
      <c r="Q80" s="1" t="s">
        <v>173</v>
      </c>
      <c r="R80" s="1" t="s">
        <v>383</v>
      </c>
    </row>
    <row r="81" spans="1:18">
      <c r="A81" s="39">
        <f t="shared" si="2"/>
        <v>71</v>
      </c>
      <c r="B81" s="39" t="s">
        <v>458</v>
      </c>
      <c r="C81" s="82" t="s">
        <v>25</v>
      </c>
      <c r="D81" s="83">
        <v>45062</v>
      </c>
      <c r="E81" s="39" t="s">
        <v>457</v>
      </c>
      <c r="F81" s="17" t="s">
        <v>460</v>
      </c>
      <c r="G81" s="25" t="s">
        <v>461</v>
      </c>
      <c r="H81" s="1" t="s">
        <v>350</v>
      </c>
      <c r="I81" s="8">
        <v>1</v>
      </c>
      <c r="J81" s="6">
        <v>2</v>
      </c>
      <c r="K81" s="6">
        <f>I81*J81</f>
        <v>2</v>
      </c>
      <c r="L81" s="2" t="str">
        <f>IF(K81=1,"Bajo",IF(K81=2,"Bajo",IF(K81=3,"Medio",IF(K81=4,"Medio",IF(K81=6,"Alto",IF(K81=9,"Alto"))))))</f>
        <v>Bajo</v>
      </c>
      <c r="M81" s="31" t="s">
        <v>61</v>
      </c>
      <c r="N81" s="1" t="s">
        <v>94</v>
      </c>
      <c r="O81" s="71" t="s">
        <v>458</v>
      </c>
      <c r="P81" s="1" t="s">
        <v>176</v>
      </c>
      <c r="Q81" s="1" t="s">
        <v>173</v>
      </c>
      <c r="R81" s="1" t="s">
        <v>383</v>
      </c>
    </row>
    <row r="82" spans="1:18">
      <c r="A82" s="39">
        <f>ROW(E82)-ROW($E$10)</f>
        <v>72</v>
      </c>
      <c r="B82" s="39" t="s">
        <v>459</v>
      </c>
      <c r="C82" s="82" t="s">
        <v>25</v>
      </c>
      <c r="D82" s="83">
        <v>45062</v>
      </c>
      <c r="E82" s="39" t="s">
        <v>457</v>
      </c>
      <c r="F82" s="17" t="s">
        <v>460</v>
      </c>
      <c r="G82" s="25" t="s">
        <v>461</v>
      </c>
      <c r="H82" s="1" t="s">
        <v>350</v>
      </c>
      <c r="I82" s="8">
        <v>1</v>
      </c>
      <c r="J82" s="6">
        <v>2</v>
      </c>
      <c r="K82" s="6">
        <f>I82*J82</f>
        <v>2</v>
      </c>
      <c r="L82" s="2" t="str">
        <f>IF(K82=1,"Bajo",IF(K82=2,"Bajo",IF(K82=3,"Medio",IF(K82=4,"Medio",IF(K82=6,"Alto",IF(K82=9,"Alto"))))))</f>
        <v>Bajo</v>
      </c>
      <c r="M82" s="31" t="s">
        <v>61</v>
      </c>
      <c r="N82" s="1" t="s">
        <v>94</v>
      </c>
      <c r="O82" s="71" t="s">
        <v>459</v>
      </c>
      <c r="P82" s="1" t="s">
        <v>176</v>
      </c>
      <c r="Q82" s="1" t="s">
        <v>173</v>
      </c>
      <c r="R82" s="1" t="s">
        <v>383</v>
      </c>
    </row>
    <row r="83" spans="1:18">
      <c r="A83" s="1">
        <f>ROW(E83)-ROW($E$10)</f>
        <v>73</v>
      </c>
      <c r="B83" s="1"/>
      <c r="C83" s="6"/>
      <c r="D83" s="30"/>
      <c r="E83" s="1"/>
      <c r="F83" s="20"/>
      <c r="G83" s="1"/>
      <c r="H83" s="1"/>
      <c r="I83" s="6"/>
      <c r="J83" s="6"/>
      <c r="K83" s="6"/>
      <c r="L83" s="2"/>
      <c r="M83" s="1"/>
      <c r="N83" s="1"/>
      <c r="O83" s="71"/>
      <c r="P83" s="1"/>
      <c r="Q83" s="1"/>
      <c r="R83" s="1"/>
    </row>
  </sheetData>
  <autoFilter ref="A9:Q83" xr:uid="{00000000-0001-0000-0000-000000000000}">
    <filterColumn colId="4" showButton="0"/>
    <filterColumn colId="5" showButton="0"/>
    <filterColumn colId="8" showButton="0"/>
    <filterColumn colId="9" showButton="0"/>
    <filterColumn colId="10" showButton="0"/>
    <sortState xmlns:xlrd2="http://schemas.microsoft.com/office/spreadsheetml/2017/richdata2" ref="A12:Q75">
      <sortCondition ref="D9:D75"/>
    </sortState>
  </autoFilter>
  <mergeCells count="14">
    <mergeCell ref="R9:R10"/>
    <mergeCell ref="Q9:Q10"/>
    <mergeCell ref="P9:P10"/>
    <mergeCell ref="A9:A10"/>
    <mergeCell ref="A2:O7"/>
    <mergeCell ref="M9:M10"/>
    <mergeCell ref="I9:L9"/>
    <mergeCell ref="E9:G9"/>
    <mergeCell ref="B9:B10"/>
    <mergeCell ref="C9:C10"/>
    <mergeCell ref="D9:D10"/>
    <mergeCell ref="H9:H10"/>
    <mergeCell ref="N9:N10"/>
    <mergeCell ref="O9:O10"/>
  </mergeCells>
  <phoneticPr fontId="9" type="noConversion"/>
  <conditionalFormatting sqref="B1:B1048576">
    <cfRule type="duplicateValues" dxfId="62" priority="22"/>
  </conditionalFormatting>
  <conditionalFormatting sqref="E1:E1048576">
    <cfRule type="duplicateValues" dxfId="61" priority="21"/>
  </conditionalFormatting>
  <conditionalFormatting sqref="I11:I83">
    <cfRule type="cellIs" dxfId="60" priority="75" operator="equal">
      <formula>3</formula>
    </cfRule>
    <cfRule type="cellIs" dxfId="59" priority="76" operator="equal">
      <formula>2</formula>
    </cfRule>
  </conditionalFormatting>
  <conditionalFormatting sqref="I11:J83">
    <cfRule type="cellIs" dxfId="58" priority="74" operator="equal">
      <formula>1</formula>
    </cfRule>
  </conditionalFormatting>
  <conditionalFormatting sqref="J11:J83">
    <cfRule type="cellIs" dxfId="57" priority="72" operator="equal">
      <formula>3</formula>
    </cfRule>
    <cfRule type="cellIs" dxfId="56" priority="73" operator="equal">
      <formula>2</formula>
    </cfRule>
  </conditionalFormatting>
  <conditionalFormatting sqref="K11:K59">
    <cfRule type="cellIs" dxfId="55" priority="4" operator="between">
      <formula>6</formula>
      <formula>10</formula>
    </cfRule>
    <cfRule type="cellIs" dxfId="54" priority="5" operator="between">
      <formula>3</formula>
      <formula>4</formula>
    </cfRule>
    <cfRule type="cellIs" dxfId="53" priority="6" operator="between">
      <formula>1</formula>
      <formula>2</formula>
    </cfRule>
  </conditionalFormatting>
  <conditionalFormatting sqref="K60:K75 K77:K78 K80:K83">
    <cfRule type="cellIs" dxfId="52" priority="43" operator="equal">
      <formula>3</formula>
    </cfRule>
  </conditionalFormatting>
  <conditionalFormatting sqref="K60:K83">
    <cfRule type="cellIs" dxfId="51" priority="14" operator="equal">
      <formula>2</formula>
    </cfRule>
    <cfRule type="cellIs" dxfId="50" priority="15" operator="equal">
      <formula>1</formula>
    </cfRule>
  </conditionalFormatting>
  <conditionalFormatting sqref="K76">
    <cfRule type="cellIs" dxfId="49" priority="13" operator="between">
      <formula>6</formula>
      <formula>9</formula>
    </cfRule>
  </conditionalFormatting>
  <conditionalFormatting sqref="K79">
    <cfRule type="cellIs" dxfId="48" priority="16" operator="between">
      <formula>6</formula>
      <formula>9</formula>
    </cfRule>
  </conditionalFormatting>
  <conditionalFormatting sqref="L11:L83">
    <cfRule type="cellIs" dxfId="47" priority="64" operator="equal">
      <formula>"Alto"</formula>
    </cfRule>
    <cfRule type="cellIs" dxfId="46" priority="65" operator="equal">
      <formula>"Medio"</formula>
    </cfRule>
    <cfRule type="cellIs" dxfId="45" priority="66" operator="equal">
      <formula>"Bajo"</formula>
    </cfRule>
    <cfRule type="cellIs" dxfId="44" priority="67" stopIfTrue="1" operator="equal">
      <formula>"Bajo "</formula>
    </cfRule>
  </conditionalFormatting>
  <conditionalFormatting sqref="M11">
    <cfRule type="colorScale" priority="51">
      <colorScale>
        <cfvo type="min"/>
        <cfvo type="percentile" val="50"/>
        <cfvo type="max"/>
        <color rgb="FFC00000"/>
        <color rgb="FF0070C0"/>
        <color rgb="FF00B050"/>
      </colorScale>
    </cfRule>
  </conditionalFormatting>
  <conditionalFormatting sqref="M11:M82">
    <cfRule type="cellIs" dxfId="43" priority="25" operator="equal">
      <formula>"Cerrado"</formula>
    </cfRule>
  </conditionalFormatting>
  <conditionalFormatting sqref="M21:M29 M31:M82">
    <cfRule type="cellIs" dxfId="42" priority="47" operator="equal">
      <formula>"Abierto "</formula>
    </cfRule>
  </conditionalFormatting>
  <conditionalFormatting sqref="M24:M29 M33:M82">
    <cfRule type="cellIs" dxfId="41" priority="46" operator="equal">
      <formula>"En ejecución"</formula>
    </cfRule>
  </conditionalFormatting>
  <conditionalFormatting sqref="M31">
    <cfRule type="cellIs" dxfId="40" priority="41" operator="equal">
      <formula>"En ejecución"</formula>
    </cfRule>
  </conditionalFormatting>
  <conditionalFormatting sqref="O62:O75">
    <cfRule type="duplicateValues" dxfId="39" priority="20"/>
  </conditionalFormatting>
  <conditionalFormatting sqref="O77:O82">
    <cfRule type="duplicateValues" dxfId="38" priority="19"/>
  </conditionalFormatting>
  <hyperlinks>
    <hyperlink ref="G12" r:id="rId1" xr:uid="{00000000-0004-0000-0000-000000000000}"/>
    <hyperlink ref="G15" r:id="rId2" xr:uid="{00000000-0004-0000-0000-000001000000}"/>
    <hyperlink ref="G16" r:id="rId3" xr:uid="{00000000-0004-0000-0000-000002000000}"/>
    <hyperlink ref="G18" r:id="rId4" xr:uid="{00000000-0004-0000-0000-000003000000}"/>
    <hyperlink ref="G19" r:id="rId5" xr:uid="{00000000-0004-0000-0000-000004000000}"/>
    <hyperlink ref="G20" r:id="rId6" xr:uid="{00000000-0004-0000-0000-000005000000}"/>
    <hyperlink ref="G17" r:id="rId7" xr:uid="{00000000-0004-0000-0000-000006000000}"/>
    <hyperlink ref="O12" r:id="rId8" display="3. Quejas, Sugerencia y Reclamaciones\Buzón\SEDE\Q01.pdf" xr:uid="{00000000-0004-0000-0000-000007000000}"/>
    <hyperlink ref="O19" r:id="rId9" xr:uid="{00000000-0004-0000-0000-000008000000}"/>
    <hyperlink ref="O18" r:id="rId10" xr:uid="{00000000-0004-0000-0000-000009000000}"/>
    <hyperlink ref="O14" r:id="rId11" display="3. Quejas, Sugerencia y Reclamaciones\Buzón\SEDE\Q04.pdf" xr:uid="{00000000-0004-0000-0000-00000A000000}"/>
    <hyperlink ref="O15" r:id="rId12" display="3. Quejas, Sugerencia y Reclamaciones\Buzón\SEDE\Q03.pdf" xr:uid="{00000000-0004-0000-0000-00000B000000}"/>
    <hyperlink ref="O11" r:id="rId13" xr:uid="{00000000-0004-0000-0000-00000C000000}"/>
    <hyperlink ref="O13" r:id="rId14" display="3. Quejas, Sugerencia y Reclamaciones\Linea 311\QUEJA 311-2.pdf" xr:uid="{00000000-0004-0000-0000-00000D000000}"/>
    <hyperlink ref="O16" r:id="rId15" display="3. Quejas, Sugerencia y Reclamaciones\Linea 311\QUEJA 311-3.pdf" xr:uid="{00000000-0004-0000-0000-00000E000000}"/>
    <hyperlink ref="O17" r:id="rId16" xr:uid="{00000000-0004-0000-0000-00000F000000}"/>
    <hyperlink ref="G21" r:id="rId17" xr:uid="{00000000-0004-0000-0000-000010000000}"/>
    <hyperlink ref="O20" r:id="rId18" display="3. Quejas, Sugerencia y Reclamaciones\Buzón\Buzón WEB\R02.pdf" xr:uid="{00000000-0004-0000-0000-000011000000}"/>
    <hyperlink ref="O21" r:id="rId19" display="3. Quejas, Sugerencia y Reclamaciones\Buzón\Buzón WEB\S01.msg" xr:uid="{00000000-0004-0000-0000-000012000000}"/>
    <hyperlink ref="G22" r:id="rId20" xr:uid="{00000000-0004-0000-0000-000013000000}"/>
    <hyperlink ref="O22" r:id="rId21" display="3. Quejas, Sugerencia y Reclamaciones\Buzón\Buzón WEB\Q07.pdf" xr:uid="{00000000-0004-0000-0000-000014000000}"/>
    <hyperlink ref="G23" r:id="rId22" xr:uid="{00000000-0004-0000-0000-000015000000}"/>
    <hyperlink ref="O23" r:id="rId23" display="3. Quejas, Sugerencia y Reclamaciones\Buzón\Buzón WEB\R03.pdf" xr:uid="{00000000-0004-0000-0000-000016000000}"/>
    <hyperlink ref="G24" r:id="rId24" xr:uid="{00000000-0004-0000-0000-000017000000}"/>
    <hyperlink ref="G25" r:id="rId25" xr:uid="{00000000-0004-0000-0000-000018000000}"/>
    <hyperlink ref="G26" r:id="rId26" xr:uid="{00000000-0004-0000-0000-000019000000}"/>
    <hyperlink ref="O24" r:id="rId27" display="3. Quejas, Sugerencia y Reclamaciones\Buzón\Buzón WEB\R04.pdf" xr:uid="{00000000-0004-0000-0000-00001A000000}"/>
    <hyperlink ref="O25" r:id="rId28" display="3. Quejas, Sugerencia y Reclamaciones\Buzón\Buzón WEB\R05.pdf" xr:uid="{00000000-0004-0000-0000-00001B000000}"/>
    <hyperlink ref="O26" r:id="rId29" display="3. Quejas, Sugerencia y Reclamaciones\Buzón\Buzón WEB\R06.pdf" xr:uid="{00000000-0004-0000-0000-00001C000000}"/>
    <hyperlink ref="G28" r:id="rId30" xr:uid="{00000000-0004-0000-0000-00001D000000}"/>
    <hyperlink ref="O28" r:id="rId31" display="3. Quejas, Sugerencia y Reclamaciones\Buzón\Buzón WEB\R07.pdf" xr:uid="{00000000-0004-0000-0000-00001E000000}"/>
    <hyperlink ref="O27" r:id="rId32" display="3. Quejas, Sugerencia y Reclamaciones\Buzón\SEDE\Q08.pdf" xr:uid="{00000000-0004-0000-0000-00001F000000}"/>
    <hyperlink ref="O29" r:id="rId33" display="3. Quejas, Sugerencia y Reclamaciones\Buzón\SEDE\Q09.pdf" xr:uid="{00000000-0004-0000-0000-000020000000}"/>
    <hyperlink ref="G30" r:id="rId34" xr:uid="{00000000-0004-0000-0000-000021000000}"/>
    <hyperlink ref="O30" r:id="rId35" display="3. Quejas, Sugerencia y Reclamaciones\Buzón\Buzón WEB\Q10.pdf" xr:uid="{00000000-0004-0000-0000-000022000000}"/>
    <hyperlink ref="G31" r:id="rId36" xr:uid="{00000000-0004-0000-0000-000023000000}"/>
    <hyperlink ref="O31" r:id="rId37" display="3. Quejas, Sugerencia y Reclamaciones\Buzón\Buzón WEB\R08.pdf" xr:uid="{00000000-0004-0000-0000-000024000000}"/>
    <hyperlink ref="G32" r:id="rId38" xr:uid="{C7CAAB2C-1A20-48A2-B1F2-4EB5D495DCAF}"/>
    <hyperlink ref="O32" r:id="rId39" display="3. Quejas, Sugerencia y Reclamaciones\Buzón\Buzón WEB\R09.pdf" xr:uid="{B70274AA-8943-4773-ABF3-82454E6B2F20}"/>
    <hyperlink ref="G33" r:id="rId40" xr:uid="{1970454F-BC39-4D3F-BC3E-75B12E198C4D}"/>
    <hyperlink ref="G34" r:id="rId41" xr:uid="{FA5A4988-3A51-44E6-B135-B249B20EA949}"/>
    <hyperlink ref="G36" r:id="rId42" xr:uid="{5A8037FC-54F8-453A-A224-9ABB13086B64}"/>
    <hyperlink ref="O36" r:id="rId43" display="3. Quejas, Sugerencia y Reclamaciones\Buzón\Buzón WEB\R11.pdf" xr:uid="{55C8A939-C9EE-436A-AD65-79D70D43A482}"/>
    <hyperlink ref="G35" r:id="rId44" xr:uid="{41F48F3F-E9BC-4A85-A42B-5AC6CF3173DE}"/>
    <hyperlink ref="G37" r:id="rId45" xr:uid="{46C45A24-226E-46B8-A8C5-CBC40EBD821D}"/>
    <hyperlink ref="G38" r:id="rId46" xr:uid="{0C8C3D46-B67F-4ECE-81BE-335AFE8113BE}"/>
    <hyperlink ref="G39" r:id="rId47" xr:uid="{C45D09A0-1BCE-41BA-A9DE-CE048AFA604F}"/>
    <hyperlink ref="O39" r:id="rId48" display="3. Quejas, Sugerencia y Reclamaciones\Buzón\Buzón WEB\R15.pdf" xr:uid="{6E4FFFC1-8CA6-4152-BB52-0FBE8CD64386}"/>
    <hyperlink ref="O38" r:id="rId49" display="3. Quejas, Sugerencia y Reclamaciones\Buzón\Buzón WEB\R14.pdf" xr:uid="{C6B96F22-91E5-4D2B-AEAD-41FB81BAB82C}"/>
    <hyperlink ref="O37" r:id="rId50" display="3. Quejas, Sugerencia y Reclamaciones\Buzón\Buzón WEB\R13.pdf" xr:uid="{54C6AC9D-4F4D-494F-BBA7-CA9C466F6142}"/>
    <hyperlink ref="O35" r:id="rId51" display="3. Quejas, Sugerencia y Reclamaciones\Buzón\Buzón WEB\R12.pdf" xr:uid="{7ACCBC98-9888-4242-8822-61C05D5F54E6}"/>
    <hyperlink ref="G40" r:id="rId52" xr:uid="{CB04E00A-1E65-4C96-98E8-D55E319DE010}"/>
    <hyperlink ref="O40" r:id="rId53" display="3. Quejas, Sugerencia y Reclamaciones\Buzón\Buzón WEB\R16.pdf" xr:uid="{10151F97-DAAD-43C6-8A18-08C584249ED0}"/>
    <hyperlink ref="O33" r:id="rId54" display="3. Quejas, Sugerencia y Reclamaciones\Buzón\Buzón WEB\R10.pdf" xr:uid="{1319A366-3506-41FF-A5E0-828965A4B89F}"/>
    <hyperlink ref="O34" r:id="rId55" display="3. Quejas, Sugerencia y Reclamaciones\Buzón\Buzón WEB\Q11.msg" xr:uid="{84713847-FD0D-45E2-ADDD-14914D18A19C}"/>
    <hyperlink ref="G41" r:id="rId56" xr:uid="{017992D7-E0EF-4958-9BAF-70CD9F4F69A1}"/>
    <hyperlink ref="G42" r:id="rId57" xr:uid="{BABABBC4-AADF-4321-91FD-B329FCB4D433}"/>
    <hyperlink ref="O41" r:id="rId58" display="3. Quejas, Sugerencia y Reclamaciones\Buzón\Buzón WEB\R17.pdf" xr:uid="{AB3EF418-6572-466D-9BE6-0D0D0D7ADEC6}"/>
    <hyperlink ref="O42" r:id="rId59" display="3. Quejas, Sugerencia y Reclamaciones\Buzón\Buzón WEB\R18.pdf" xr:uid="{C61D3851-C736-4FCF-822C-4D8960D6009C}"/>
    <hyperlink ref="G43" r:id="rId60" xr:uid="{31ABD970-434A-4D9D-AD4C-F3B66BF598DE}"/>
    <hyperlink ref="O43" r:id="rId61" display="3. Quejas, Sugerencia y Reclamaciones\Buzón\SEDE\Q12.pdf" xr:uid="{B6F27E2F-0DF5-4B5F-A2D5-94B86CAD9F05}"/>
    <hyperlink ref="G44" r:id="rId62" xr:uid="{D48EC751-09CB-433A-A4CC-9685C2A950AF}"/>
    <hyperlink ref="O44" r:id="rId63" display="3. Quejas, Sugerencia y Reclamaciones\Buzón\Buzón WEB\R19.pdf" xr:uid="{5E90140F-29A7-4990-AFFB-02BDD43CE7AC}"/>
    <hyperlink ref="G45" r:id="rId64" xr:uid="{F3309063-2DC2-45C3-8C0F-E90177A475D5}"/>
    <hyperlink ref="G46" r:id="rId65" xr:uid="{AAB4862F-6122-412E-86E9-F53C6467ACAA}"/>
    <hyperlink ref="G47" r:id="rId66" xr:uid="{4B9078F7-E950-424D-972F-BFEFFB4BD66E}"/>
    <hyperlink ref="G48" r:id="rId67" xr:uid="{DF18BEBA-B373-4A96-9D89-EE0F8C684344}"/>
    <hyperlink ref="O48" r:id="rId68" display="3. Quejas, Sugerencia y Reclamaciones\Buzón\Buzón WEB\R23.msg" xr:uid="{570A7372-E07E-4201-AE09-CCAF87EF8A18}"/>
    <hyperlink ref="O47" r:id="rId69" display="3. Quejas, Sugerencia y Reclamaciones\Buzón\Buzón WEB\R22.pdf" xr:uid="{8B657CF7-06B3-4B7B-BD24-CF4A19B44254}"/>
    <hyperlink ref="O46" r:id="rId70" display="3. Quejas, Sugerencia y Reclamaciones\Buzón\Buzón WEB\R21.pdf" xr:uid="{8A127B3A-B885-4024-A639-9125F9E8661F}"/>
    <hyperlink ref="O45" r:id="rId71" display="3. Quejas, Sugerencia y Reclamaciones\Buzón\Buzón WEB\R20.pdf" xr:uid="{2D201A08-9589-47CF-BCC8-9B5A95AA0CEE}"/>
    <hyperlink ref="G49" r:id="rId72" xr:uid="{9F7AA530-0F69-438C-B22B-E16DCC01C7F9}"/>
    <hyperlink ref="G50" r:id="rId73" xr:uid="{4082F4E1-77D9-46D3-BFBC-1CCE1F35CBB3}"/>
    <hyperlink ref="O50" r:id="rId74" display="3. Quejas, Sugerencia y Reclamaciones\Buzón\Buzón WEB\R25.pdf" xr:uid="{973B57A1-B7B1-4F36-AFF7-823D7C889B16}"/>
    <hyperlink ref="O49" r:id="rId75" display="3. Quejas, Sugerencia y Reclamaciones\Buzón\Buzón WEB\R24.pdf" xr:uid="{F47DB09B-3AF9-4265-8966-543E4A27D9A8}"/>
    <hyperlink ref="G51" r:id="rId76" xr:uid="{BB4F549B-45FA-46BB-9217-B2C7FE132EA4}"/>
    <hyperlink ref="O51" r:id="rId77" display="3. Quejas, Sugerencia y Reclamaciones\Buzón\Buzón WEB\R26.pdf" xr:uid="{51C8E2AD-FEBA-4F8B-B641-2D4881B461D7}"/>
    <hyperlink ref="G53" r:id="rId78" xr:uid="{53BDEA8C-C0BC-49BE-9E3F-662873BFE285}"/>
    <hyperlink ref="O53" r:id="rId79" display="3. Quejas, Sugerencia y Reclamaciones\Buzón\Buzón WEB\R27.msg" xr:uid="{6DC96451-31F7-40A3-99A2-C58B55D3F98F}"/>
    <hyperlink ref="O52" r:id="rId80" display="3. Quejas, Sugerencia y Reclamaciones\Buzón\Buzón WEB\Q13.msg" xr:uid="{FE735771-B279-4E60-90FD-7E1DAA835FA3}"/>
    <hyperlink ref="O54" r:id="rId81" display="3. Quejas, Sugerencia y Reclamaciones\Buzón\PISO 11\Q14.pdf" xr:uid="{B1C4622E-0D49-4E9B-B72F-2F04C8D51ECE}"/>
    <hyperlink ref="O55" r:id="rId82" display="3. Quejas, Sugerencia y Reclamaciones\Buzón\PISO 11\Q15.pdf" xr:uid="{06C8B186-7E05-4894-A4A0-62AE6CB5FE4F}"/>
    <hyperlink ref="G56" r:id="rId83" xr:uid="{17542589-E0DA-4576-B0C8-B1103FFE7654}"/>
    <hyperlink ref="O56" r:id="rId84" xr:uid="{E01939A0-437E-4D9E-AE17-2BFD331A08AE}"/>
    <hyperlink ref="G57" r:id="rId85" xr:uid="{DAEBA781-DC18-4D22-A6D7-40C3864E1C23}"/>
    <hyperlink ref="O57" r:id="rId86" display="3. Quejas, Sugerencia y Reclamaciones\Buzón\Buzón WEB\r29.pdf" xr:uid="{1DE434B9-BEF8-43FA-8185-3CF59390CF48}"/>
    <hyperlink ref="G58" r:id="rId87" xr:uid="{88A6ADF5-F84D-49FF-8DAB-4C8C9C011F0A}"/>
    <hyperlink ref="G59" r:id="rId88" xr:uid="{DCF97277-45A2-4B6B-A0E1-C92FA1D7F627}"/>
    <hyperlink ref="O59" r:id="rId89" xr:uid="{9FB77C56-6686-4762-A1ED-583197133736}"/>
    <hyperlink ref="O60" r:id="rId90" xr:uid="{4CA1AEE9-E1BE-4962-8EFC-0C2809F9C73F}"/>
    <hyperlink ref="G61" r:id="rId91" xr:uid="{B95C51B8-E7AF-421F-8570-8B68385410A2}"/>
    <hyperlink ref="O61" r:id="rId92" xr:uid="{586D9A06-6A7F-45E8-B7C4-81FD4C620C11}"/>
    <hyperlink ref="G62" r:id="rId93" xr:uid="{99B801E0-AA53-411D-883C-5F240364AA8B}"/>
    <hyperlink ref="G63" r:id="rId94" xr:uid="{A3DC160E-09C0-4595-BD80-4ED417865BA3}"/>
    <hyperlink ref="G64" r:id="rId95" xr:uid="{E037187E-951C-46E1-AD81-6F16058F8186}"/>
    <hyperlink ref="G66" r:id="rId96" xr:uid="{FAF4C420-4AAF-4507-95A3-7FDB2C9A5DE0}"/>
    <hyperlink ref="G67" r:id="rId97" xr:uid="{AEC420DA-DF15-4501-9116-0F6B374D6244}"/>
    <hyperlink ref="G68" r:id="rId98" xr:uid="{CE432379-6577-4A37-836D-9261849F5E96}"/>
    <hyperlink ref="G69" r:id="rId99" xr:uid="{066D33EC-DD6A-4559-8749-E5EB39CEEDE0}"/>
    <hyperlink ref="G70" r:id="rId100" xr:uid="{C97C9747-9C87-4C06-BE45-D9CE9A76AF73}"/>
    <hyperlink ref="G71" r:id="rId101" xr:uid="{1C8FF463-CD56-4A7D-A3C2-CD0EA6B4DBD2}"/>
    <hyperlink ref="G72" r:id="rId102" xr:uid="{08D0A7C5-31D4-4ED9-A67F-456D141AA4C4}"/>
    <hyperlink ref="G73" r:id="rId103" xr:uid="{ED04EC81-AC3C-4A04-8B1B-7C2018CA020F}"/>
    <hyperlink ref="G74" r:id="rId104" xr:uid="{E8208A71-71C8-4F46-8839-B46CEF1C4A1D}"/>
    <hyperlink ref="G75" r:id="rId105" xr:uid="{47395971-0789-4004-B9AE-144FB99FED9F}"/>
    <hyperlink ref="O76" r:id="rId106" display="Q16" xr:uid="{77749A12-79A2-44F7-A1EB-6AC58DA30C9F}"/>
    <hyperlink ref="G77" r:id="rId107" xr:uid="{1D937B3A-CC83-4003-9992-5099291F5722}"/>
    <hyperlink ref="G78" r:id="rId108" xr:uid="{6E1B762E-D927-4B5E-A2EB-F5F23EF0C6EB}"/>
    <hyperlink ref="G80" r:id="rId109" xr:uid="{F8A3F84C-8AC4-4F37-A8BB-8BB711098B52}"/>
    <hyperlink ref="O62" r:id="rId110" xr:uid="{BF27B27A-5497-4F66-B9A3-EEC80B3B2B44}"/>
    <hyperlink ref="O63" r:id="rId111" xr:uid="{B1D5CEDF-1D81-43FC-93A7-E1352514B74C}"/>
    <hyperlink ref="O64" r:id="rId112" xr:uid="{2247E567-2748-48F4-A0CB-FE5E4C46C7BA}"/>
    <hyperlink ref="O65" r:id="rId113" xr:uid="{8E85BD78-9A80-47F7-A0AA-61E33727A4C3}"/>
    <hyperlink ref="O66" r:id="rId114" xr:uid="{F7A050AA-80DE-4881-868A-BCB94432DD39}"/>
    <hyperlink ref="O67" r:id="rId115" xr:uid="{61C299A0-9617-4B32-9910-23E48A8BA24A}"/>
    <hyperlink ref="O68" r:id="rId116" xr:uid="{A8F0EDB2-DA13-463F-B65F-20FA22B48F4D}"/>
    <hyperlink ref="O69" r:id="rId117" xr:uid="{9728039C-6BD8-4DEF-B473-F238AD9FFA0E}"/>
    <hyperlink ref="O70" r:id="rId118" xr:uid="{8F2C14E1-4C43-4B53-A520-B2529D3AC22C}"/>
    <hyperlink ref="O71" r:id="rId119" xr:uid="{46BA0DDF-F990-4287-BD02-B3F330381BD9}"/>
    <hyperlink ref="O72" r:id="rId120" xr:uid="{F319AC97-12DD-4CC6-BC12-8753F55CD2A3}"/>
    <hyperlink ref="O73" r:id="rId121" xr:uid="{AA08FA69-6BD4-4212-8F3B-B08076AE069E}"/>
    <hyperlink ref="O74" r:id="rId122" xr:uid="{2C11F96A-6EC8-4C54-97DB-072EBBC48679}"/>
    <hyperlink ref="O75" r:id="rId123" xr:uid="{32ADD206-A52E-4A77-BF68-3871F4E4F61C}"/>
    <hyperlink ref="O77" r:id="rId124" xr:uid="{FDAF6FB5-9AA3-4AD4-9C90-FB3553E0F6C2}"/>
    <hyperlink ref="O78" r:id="rId125" xr:uid="{63C85FEC-E069-436B-91C8-87B47C523B2E}"/>
    <hyperlink ref="O79" r:id="rId126" xr:uid="{40758C6B-9B41-4F77-9B45-C1AB7BDAC07B}"/>
    <hyperlink ref="O80" r:id="rId127" xr:uid="{61D9C36D-1045-4E15-A107-75E5C2311BB9}"/>
    <hyperlink ref="O58" r:id="rId128" xr:uid="{7186D870-27E6-40F5-BAEF-5F50AB067735}"/>
    <hyperlink ref="G81" r:id="rId129" xr:uid="{97655776-43F4-4D68-92ED-F1D75385C1B5}"/>
    <hyperlink ref="G82" r:id="rId130" xr:uid="{7EECB424-848D-4DC8-9D27-9163C8367446}"/>
    <hyperlink ref="O81" r:id="rId131" xr:uid="{FC1BEE6D-2241-42EE-AEA3-0BFE5A1DFDB2}"/>
    <hyperlink ref="O82" r:id="rId132" xr:uid="{0CEA6562-E655-43EB-927D-08084B994893}"/>
  </hyperlinks>
  <pageMargins left="0.7" right="0.7" top="0.75" bottom="0.75" header="0.3" footer="0.3"/>
  <pageSetup orientation="portrait" r:id="rId133"/>
  <drawing r:id="rId134"/>
  <extLst>
    <ext xmlns:x14="http://schemas.microsoft.com/office/spreadsheetml/2009/9/main" uri="{78C0D931-6437-407d-A8EE-F0AAD7539E65}">
      <x14:conditionalFormattings>
        <x14:conditionalFormatting xmlns:xm="http://schemas.microsoft.com/office/excel/2006/main">
          <x14:cfRule type="colorScale" priority="49" id="{287650D5-9E16-41C9-8FF8-EFE9EF1B9C61}">
            <x14:colorScale>
              <x14:cfvo type="formula">
                <xm:f>Hoja3!$G$6</xm:f>
              </x14:cfvo>
              <x14:cfvo type="formula">
                <xm:f>Hoja3!$G$7</xm:f>
              </x14:cfvo>
              <x14:cfvo type="formula">
                <xm:f>Hoja3!$G$5</xm:f>
              </x14:cfvo>
              <x14:color rgb="FFFF0000"/>
              <x14:color rgb="FFFFC000"/>
              <x14:color rgb="FF00B050"/>
            </x14:colorScale>
          </x14:cfRule>
          <xm:sqref>M11</xm:sqref>
        </x14:conditionalFormatting>
      </x14:conditionalFormattings>
    </ext>
    <ext xmlns:x14="http://schemas.microsoft.com/office/spreadsheetml/2009/9/main" uri="{CCE6A557-97BC-4b89-ADB6-D9C93CAAB3DF}">
      <x14:dataValidations xmlns:xm="http://schemas.microsoft.com/office/excel/2006/main" xWindow="680" yWindow="527" count="5">
        <x14:dataValidation type="list" allowBlank="1" showInputMessage="1" showErrorMessage="1" promptTitle="Seleccionar " xr:uid="{06980FC5-0F56-4CA0-939D-43E58445647B}">
          <x14:formula1>
            <xm:f>Hoja3!$I$5:$I$9</xm:f>
          </x14:formula1>
          <xm:sqref>P9:P10</xm:sqref>
        </x14:dataValidation>
        <x14:dataValidation type="list" showInputMessage="1" showErrorMessage="1" promptTitle="Seleccionar" prompt="Seleccionar" xr:uid="{A9B409CA-D1CE-475B-90CB-ECECA2E9D893}">
          <x14:formula1>
            <xm:f>Hoja3!$I$5:$I$9</xm:f>
          </x14:formula1>
          <xm:sqref>P11</xm:sqref>
        </x14:dataValidation>
        <x14:dataValidation type="list" allowBlank="1" showInputMessage="1" showErrorMessage="1" xr:uid="{00000000-0002-0000-0000-000000000000}">
          <x14:formula1>
            <xm:f>Hoja3!$E$5:$E$9</xm:f>
          </x14:formula1>
          <xm:sqref>C11:C82</xm:sqref>
        </x14:dataValidation>
        <x14:dataValidation type="list" showInputMessage="1" showErrorMessage="1" xr:uid="{44768463-3600-4E6E-942C-A0564949CE2B}">
          <x14:formula1>
            <xm:f>Hoja3!$I$5:$I$9</xm:f>
          </x14:formula1>
          <xm:sqref>P12:P83</xm:sqref>
        </x14:dataValidation>
        <x14:dataValidation type="list" showInputMessage="1" showErrorMessage="1" promptTitle="Seeccionar" prompt="Cerrado,Abierto,En ejeccución, Seleccionar" xr:uid="{00000000-0002-0000-0000-000001000000}">
          <x14:formula1>
            <xm:f>Hoja3!$G$5:$G$8</xm:f>
          </x14:formula1>
          <xm:sqref>M9:M82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89"/>
  <sheetViews>
    <sheetView topLeftCell="A4" zoomScale="60" zoomScaleNormal="60" workbookViewId="0">
      <pane xSplit="1" ySplit="7" topLeftCell="B56" activePane="bottomRight" state="frozen"/>
      <selection activeCell="A4" sqref="A4"/>
      <selection pane="topRight" activeCell="B4" sqref="B4"/>
      <selection pane="bottomLeft" activeCell="A11" sqref="A11"/>
      <selection pane="bottomRight" activeCell="H56" sqref="H56"/>
    </sheetView>
  </sheetViews>
  <sheetFormatPr baseColWidth="10" defaultColWidth="11.44140625" defaultRowHeight="14.4"/>
  <cols>
    <col min="1" max="1" width="11.44140625" style="37"/>
    <col min="2" max="2" width="18.88671875" style="37" bestFit="1" customWidth="1"/>
    <col min="3" max="3" width="20.33203125" style="37" customWidth="1"/>
    <col min="4" max="4" width="19.109375" style="37" customWidth="1"/>
    <col min="5" max="5" width="32.6640625" style="37" bestFit="1" customWidth="1"/>
    <col min="6" max="6" width="29.44140625" style="38" customWidth="1"/>
    <col min="7" max="7" width="18.44140625" style="37" customWidth="1"/>
    <col min="8" max="8" width="29.33203125" style="37" customWidth="1"/>
    <col min="9" max="9" width="18.33203125" style="37" customWidth="1"/>
    <col min="10" max="10" width="19.44140625" style="37" customWidth="1"/>
    <col min="11" max="11" width="17.6640625" style="37" customWidth="1"/>
    <col min="12" max="12" width="37" style="37" customWidth="1"/>
    <col min="13" max="13" width="17" style="37" customWidth="1"/>
    <col min="14" max="14" width="11.5546875" style="38" customWidth="1"/>
    <col min="15" max="16384" width="11.44140625" style="37"/>
  </cols>
  <sheetData>
    <row r="1" spans="1:18" customFormat="1">
      <c r="A1" s="37"/>
      <c r="B1" s="202"/>
      <c r="C1" s="202"/>
      <c r="D1" s="202"/>
      <c r="E1" s="202"/>
      <c r="F1" s="202"/>
      <c r="G1" s="202"/>
      <c r="H1" s="202"/>
      <c r="I1" s="202"/>
      <c r="J1" s="202"/>
      <c r="K1" s="202"/>
      <c r="L1" s="202"/>
      <c r="M1" s="202"/>
      <c r="N1" s="202"/>
      <c r="O1" s="202"/>
      <c r="P1" s="202"/>
      <c r="Q1" s="202"/>
      <c r="R1" s="202"/>
    </row>
    <row r="2" spans="1:18" customFormat="1">
      <c r="A2" s="37"/>
      <c r="B2" s="202"/>
      <c r="C2" s="202"/>
      <c r="D2" s="202"/>
      <c r="E2" s="202"/>
      <c r="F2" s="202"/>
      <c r="G2" s="202"/>
      <c r="H2" s="202"/>
      <c r="I2" s="202"/>
      <c r="J2" s="202"/>
      <c r="K2" s="202"/>
      <c r="L2" s="202"/>
      <c r="M2" s="202"/>
      <c r="N2" s="202"/>
      <c r="O2" s="202"/>
      <c r="P2" s="202"/>
      <c r="Q2" s="202"/>
      <c r="R2" s="202"/>
    </row>
    <row r="3" spans="1:18" customFormat="1">
      <c r="A3" s="37"/>
      <c r="B3" s="202"/>
      <c r="C3" s="202"/>
      <c r="D3" s="202"/>
      <c r="E3" s="202"/>
      <c r="F3" s="202"/>
      <c r="G3" s="202"/>
      <c r="H3" s="202"/>
      <c r="I3" s="202"/>
      <c r="J3" s="202"/>
      <c r="K3" s="202"/>
      <c r="L3" s="202"/>
      <c r="M3" s="202"/>
      <c r="N3" s="202"/>
      <c r="O3" s="202"/>
      <c r="P3" s="202"/>
      <c r="Q3" s="202"/>
      <c r="R3" s="202"/>
    </row>
    <row r="4" spans="1:18" customFormat="1">
      <c r="A4" s="37"/>
      <c r="B4" s="202"/>
      <c r="C4" s="202"/>
      <c r="D4" s="202"/>
      <c r="E4" s="202"/>
      <c r="F4" s="202"/>
      <c r="G4" s="202"/>
      <c r="H4" s="202"/>
      <c r="I4" s="202"/>
      <c r="J4" s="202"/>
      <c r="K4" s="202"/>
      <c r="L4" s="202"/>
      <c r="M4" s="202"/>
      <c r="N4" s="202"/>
      <c r="O4" s="202"/>
      <c r="P4" s="202"/>
      <c r="Q4" s="202"/>
      <c r="R4" s="202"/>
    </row>
    <row r="5" spans="1:18" customFormat="1">
      <c r="A5" s="37"/>
      <c r="B5" s="202"/>
      <c r="C5" s="202"/>
      <c r="D5" s="202"/>
      <c r="E5" s="202"/>
      <c r="F5" s="202"/>
      <c r="G5" s="202"/>
      <c r="H5" s="202"/>
      <c r="I5" s="202"/>
      <c r="J5" s="202"/>
      <c r="K5" s="202"/>
      <c r="L5" s="202"/>
      <c r="M5" s="202"/>
      <c r="N5" s="202"/>
      <c r="O5" s="202"/>
      <c r="P5" s="202"/>
      <c r="Q5" s="202"/>
      <c r="R5" s="202"/>
    </row>
    <row r="6" spans="1:18" customFormat="1">
      <c r="A6" s="37"/>
      <c r="B6" s="202"/>
      <c r="C6" s="202"/>
      <c r="D6" s="202"/>
      <c r="E6" s="202"/>
      <c r="F6" s="202"/>
      <c r="G6" s="202"/>
      <c r="H6" s="202"/>
      <c r="I6" s="202"/>
      <c r="J6" s="202"/>
      <c r="K6" s="202"/>
      <c r="L6" s="202"/>
      <c r="M6" s="202"/>
      <c r="N6" s="202"/>
      <c r="O6" s="202"/>
      <c r="P6" s="202"/>
      <c r="Q6" s="202"/>
      <c r="R6" s="202"/>
    </row>
    <row r="7" spans="1:18">
      <c r="F7" s="37"/>
    </row>
    <row r="8" spans="1:18">
      <c r="F8" s="37"/>
    </row>
    <row r="9" spans="1:18" ht="15" customHeight="1">
      <c r="B9" s="211" t="s">
        <v>29</v>
      </c>
      <c r="C9" s="208" t="s">
        <v>8</v>
      </c>
      <c r="D9" s="208" t="s">
        <v>6</v>
      </c>
      <c r="E9" s="208" t="s">
        <v>7</v>
      </c>
      <c r="F9" s="208" t="s">
        <v>19</v>
      </c>
      <c r="G9" s="197" t="s">
        <v>21</v>
      </c>
      <c r="H9" s="212" t="s">
        <v>20</v>
      </c>
      <c r="I9" s="212"/>
      <c r="J9" s="212"/>
      <c r="K9" s="212"/>
      <c r="L9" s="212"/>
      <c r="M9" s="203" t="s">
        <v>9</v>
      </c>
      <c r="N9" s="203" t="s">
        <v>156</v>
      </c>
    </row>
    <row r="10" spans="1:18" ht="34.950000000000003" customHeight="1">
      <c r="B10" s="211"/>
      <c r="C10" s="208"/>
      <c r="D10" s="208"/>
      <c r="E10" s="208"/>
      <c r="F10" s="208"/>
      <c r="G10" s="198"/>
      <c r="H10" s="12" t="s">
        <v>20</v>
      </c>
      <c r="I10" s="11" t="s">
        <v>15</v>
      </c>
      <c r="J10" s="11" t="s">
        <v>16</v>
      </c>
      <c r="K10" s="11" t="s">
        <v>17</v>
      </c>
      <c r="L10" s="12" t="s">
        <v>18</v>
      </c>
      <c r="M10" s="203"/>
      <c r="N10" s="203"/>
    </row>
    <row r="11" spans="1:18" ht="43.2">
      <c r="B11" s="10" t="str">
        <f>'Seguimiento (Viejo) '!B11</f>
        <v>Q2022011821153</v>
      </c>
      <c r="C11" s="24" t="str">
        <f>'Seguimiento (Viejo) '!C11</f>
        <v>Queja</v>
      </c>
      <c r="D11" s="33">
        <f>'Seguimiento (Viejo) '!D11</f>
        <v>44579</v>
      </c>
      <c r="E11" s="24" t="str">
        <f>'Seguimiento (Viejo) '!H11</f>
        <v>Certificaciones de Cargos</v>
      </c>
      <c r="F11" s="24" t="s">
        <v>91</v>
      </c>
      <c r="G11" s="24" t="str">
        <f>'Seguimiento (Viejo) '!L11</f>
        <v>Bajo</v>
      </c>
      <c r="H11" s="26" t="s">
        <v>89</v>
      </c>
      <c r="I11" s="26" t="s">
        <v>90</v>
      </c>
      <c r="J11" s="34">
        <v>44579</v>
      </c>
      <c r="K11" s="34">
        <v>44587</v>
      </c>
      <c r="L11" s="26" t="s">
        <v>94</v>
      </c>
      <c r="M11" s="35" t="s">
        <v>235</v>
      </c>
      <c r="N11" s="24">
        <f>+NETWORKDAYS(J11,K11,Hoja3!A1:A24)-1</f>
        <v>4</v>
      </c>
    </row>
    <row r="12" spans="1:18">
      <c r="B12" s="10" t="str">
        <f>+'Seguimiento (Viejo) '!B12</f>
        <v>Q01</v>
      </c>
      <c r="C12" s="24" t="str">
        <f>+'Seguimiento (Viejo) '!C12</f>
        <v>Queja</v>
      </c>
      <c r="D12" s="33">
        <f>+'Seguimiento (Viejo) '!D12</f>
        <v>44588</v>
      </c>
      <c r="E12" s="24" t="str">
        <f>+'Seguimiento (Viejo) '!H12</f>
        <v>Correspondencia</v>
      </c>
      <c r="F12" s="24"/>
      <c r="G12" s="24" t="str">
        <f>+'Seguimiento (Viejo) '!L12</f>
        <v>Bajo</v>
      </c>
      <c r="H12" s="26"/>
      <c r="I12" s="26"/>
      <c r="J12" s="26" t="s">
        <v>40</v>
      </c>
      <c r="K12" s="26" t="s">
        <v>40</v>
      </c>
      <c r="L12" s="26"/>
      <c r="M12" s="26"/>
      <c r="N12" s="24" t="e">
        <f>+NETWORKDAYS(J12,K12,Hoja3!A2:A25)-1</f>
        <v>#VALUE!</v>
      </c>
    </row>
    <row r="13" spans="1:18" ht="43.2">
      <c r="B13" s="10" t="str">
        <f>'Seguimiento (Viejo) '!B13</f>
        <v>Q2022040822558</v>
      </c>
      <c r="C13" s="24" t="str">
        <f>'Seguimiento (Viejo) '!C13</f>
        <v>Queja</v>
      </c>
      <c r="D13" s="33">
        <f>'Seguimiento (Viejo) '!D13</f>
        <v>44659</v>
      </c>
      <c r="E13" s="24" t="str">
        <f>'Seguimiento (Viejo) '!H13</f>
        <v>Pago SNS</v>
      </c>
      <c r="F13" s="24" t="s">
        <v>92</v>
      </c>
      <c r="G13" s="24" t="str">
        <f>'Seguimiento (Viejo) '!L12</f>
        <v>Bajo</v>
      </c>
      <c r="H13" s="26" t="s">
        <v>93</v>
      </c>
      <c r="I13" s="26" t="s">
        <v>90</v>
      </c>
      <c r="J13" s="34">
        <v>44659</v>
      </c>
      <c r="K13" s="34">
        <v>44662</v>
      </c>
      <c r="L13" s="26" t="s">
        <v>88</v>
      </c>
      <c r="M13" s="35" t="s">
        <v>85</v>
      </c>
      <c r="N13" s="24">
        <f>+NETWORKDAYS(J13,K13,Hoja3!A3:A26)-1</f>
        <v>1</v>
      </c>
    </row>
    <row r="14" spans="1:18">
      <c r="B14" s="10" t="str">
        <f>'Seguimiento (Viejo) '!B14</f>
        <v>Q04</v>
      </c>
      <c r="C14" s="24" t="str">
        <f>'Seguimiento (Viejo) '!C14</f>
        <v>Queja</v>
      </c>
      <c r="D14" s="33">
        <f>'Seguimiento (Viejo) '!D14</f>
        <v>44681</v>
      </c>
      <c r="E14" s="24" t="str">
        <f>'Seguimiento (Viejo) '!H14</f>
        <v>N/A</v>
      </c>
      <c r="F14" s="24"/>
      <c r="G14" s="24" t="str">
        <f>'Seguimiento (Viejo) '!L13</f>
        <v>Bajo</v>
      </c>
      <c r="H14" s="26"/>
      <c r="I14" s="26"/>
      <c r="J14" s="26" t="s">
        <v>40</v>
      </c>
      <c r="K14" s="26" t="s">
        <v>40</v>
      </c>
      <c r="L14" s="26"/>
      <c r="M14" s="26"/>
      <c r="N14" s="24" t="e">
        <f>+NETWORKDAYS(J14,K14,Hoja3!A4:A27)-1</f>
        <v>#VALUE!</v>
      </c>
    </row>
    <row r="15" spans="1:18">
      <c r="B15" s="10" t="str">
        <f>'Seguimiento (Viejo) '!B15</f>
        <v>Q03</v>
      </c>
      <c r="C15" s="24" t="str">
        <f>'Seguimiento (Viejo) '!C15</f>
        <v>Queja</v>
      </c>
      <c r="D15" s="33">
        <f>'Seguimiento (Viejo) '!D15</f>
        <v>44686</v>
      </c>
      <c r="E15" s="24" t="str">
        <f>'Seguimiento (Viejo) '!H15</f>
        <v>Certificaciones de Cargos</v>
      </c>
      <c r="F15" s="24" t="s">
        <v>40</v>
      </c>
      <c r="G15" s="24" t="str">
        <f>'Seguimiento (Viejo) '!L14</f>
        <v>Medio</v>
      </c>
      <c r="H15" s="26" t="s">
        <v>40</v>
      </c>
      <c r="I15" s="26" t="s">
        <v>40</v>
      </c>
      <c r="J15" s="26" t="s">
        <v>40</v>
      </c>
      <c r="K15" s="26" t="s">
        <v>40</v>
      </c>
      <c r="L15" s="26" t="s">
        <v>40</v>
      </c>
      <c r="M15" s="26" t="s">
        <v>40</v>
      </c>
      <c r="N15" s="24" t="e">
        <f>+NETWORKDAYS(J15,K15,Hoja3!A5:A28)-1</f>
        <v>#VALUE!</v>
      </c>
    </row>
    <row r="16" spans="1:18" ht="43.2">
      <c r="B16" s="10" t="str">
        <f>'Seguimiento (Viejo) '!B16</f>
        <v>Q2022051023139</v>
      </c>
      <c r="C16" s="24" t="str">
        <f>'Seguimiento (Viejo) '!C16</f>
        <v>Queja</v>
      </c>
      <c r="D16" s="33">
        <f>'Seguimiento (Viejo) '!D16</f>
        <v>44691</v>
      </c>
      <c r="E16" s="24" t="str">
        <f>'Seguimiento (Viejo) '!H16</f>
        <v>Concursos de oposición</v>
      </c>
      <c r="F16" s="24" t="s">
        <v>92</v>
      </c>
      <c r="G16" s="36" t="str">
        <f>'Seguimiento (Viejo) '!L15</f>
        <v>Bajo</v>
      </c>
      <c r="H16" s="26" t="s">
        <v>89</v>
      </c>
      <c r="I16" s="26" t="s">
        <v>90</v>
      </c>
      <c r="J16" s="34">
        <v>44691</v>
      </c>
      <c r="K16" s="34">
        <v>44692</v>
      </c>
      <c r="L16" s="26" t="s">
        <v>88</v>
      </c>
      <c r="M16" s="35" t="s">
        <v>85</v>
      </c>
      <c r="N16" s="24">
        <f>+NETWORKDAYS(J16,K16,Hoja3!A6:A29)-1</f>
        <v>1</v>
      </c>
    </row>
    <row r="17" spans="2:14" ht="43.2">
      <c r="B17" s="10" t="str">
        <f>'Seguimiento (Viejo) '!B17</f>
        <v>Q2022070124386</v>
      </c>
      <c r="C17" s="24" t="str">
        <f>'Seguimiento (Viejo) '!C17</f>
        <v xml:space="preserve">Reclamación </v>
      </c>
      <c r="D17" s="33">
        <f>'Seguimiento (Viejo) '!D17</f>
        <v>44743</v>
      </c>
      <c r="E17" s="24" t="str">
        <f>'Seguimiento (Viejo) '!H17</f>
        <v>Certificaciones de Cargos</v>
      </c>
      <c r="F17" s="24" t="s">
        <v>95</v>
      </c>
      <c r="G17" s="24" t="str">
        <f>'Seguimiento (Viejo) '!L16</f>
        <v>Bajo</v>
      </c>
      <c r="H17" s="26" t="s">
        <v>89</v>
      </c>
      <c r="I17" s="26" t="s">
        <v>90</v>
      </c>
      <c r="J17" s="34">
        <v>44743</v>
      </c>
      <c r="K17" s="34">
        <v>44743</v>
      </c>
      <c r="L17" s="26"/>
      <c r="M17" s="35" t="s">
        <v>58</v>
      </c>
      <c r="N17" s="24">
        <f>+NETWORKDAYS(J17,K17,Hoja3!A7:A30)-1</f>
        <v>0</v>
      </c>
    </row>
    <row r="18" spans="2:14" ht="72">
      <c r="B18" s="10" t="str">
        <f>'Seguimiento (Viejo) '!B18</f>
        <v>Q06</v>
      </c>
      <c r="C18" s="24" t="str">
        <f>'Seguimiento (Viejo) '!C18</f>
        <v>Queja</v>
      </c>
      <c r="D18" s="33">
        <f>'Seguimiento (Viejo) '!D18</f>
        <v>44774</v>
      </c>
      <c r="E18" s="24" t="str">
        <f>'Seguimiento (Viejo) '!H18</f>
        <v>Datos del colaborador</v>
      </c>
      <c r="F18" s="24" t="s">
        <v>119</v>
      </c>
      <c r="G18" s="24" t="str">
        <f>'Seguimiento (Viejo) '!L17</f>
        <v>Bajo</v>
      </c>
      <c r="H18" s="26" t="s">
        <v>120</v>
      </c>
      <c r="I18" s="26" t="s">
        <v>121</v>
      </c>
      <c r="J18" s="34">
        <v>44802</v>
      </c>
      <c r="K18" s="34">
        <v>44809</v>
      </c>
      <c r="L18" s="26" t="s">
        <v>78</v>
      </c>
      <c r="M18" s="35" t="s">
        <v>60</v>
      </c>
      <c r="N18" s="24">
        <f>+NETWORKDAYS(J18,K18,Hoja3!A8:A31)-1</f>
        <v>5</v>
      </c>
    </row>
    <row r="19" spans="2:14" ht="72">
      <c r="B19" s="10" t="str">
        <f>'Seguimiento (Viejo) '!B19</f>
        <v>R01</v>
      </c>
      <c r="C19" s="24" t="str">
        <f>'Seguimiento (Viejo) '!C19</f>
        <v xml:space="preserve">Reclamación </v>
      </c>
      <c r="D19" s="33">
        <f>'Seguimiento (Viejo) '!D19</f>
        <v>44788</v>
      </c>
      <c r="E19" s="24" t="str">
        <f>'Seguimiento (Viejo) '!H19</f>
        <v xml:space="preserve">Autorización de Ordenes de pago </v>
      </c>
      <c r="F19" s="24" t="s">
        <v>80</v>
      </c>
      <c r="G19" s="36" t="str">
        <f>'Seguimiento (Viejo) '!L18</f>
        <v>Medio</v>
      </c>
      <c r="H19" s="24" t="s">
        <v>82</v>
      </c>
      <c r="I19" s="24" t="s">
        <v>83</v>
      </c>
      <c r="J19" s="33">
        <v>44788</v>
      </c>
      <c r="K19" s="33">
        <v>44790</v>
      </c>
      <c r="L19" s="24" t="s">
        <v>84</v>
      </c>
      <c r="M19" s="23" t="s">
        <v>85</v>
      </c>
      <c r="N19" s="24">
        <f>+NETWORKDAYS(J19,K19,Hoja3!A9:A32)-1</f>
        <v>1</v>
      </c>
    </row>
    <row r="20" spans="2:14" ht="86.4">
      <c r="B20" s="10" t="str">
        <f>'Seguimiento (Viejo) '!B20</f>
        <v>R02</v>
      </c>
      <c r="C20" s="24" t="str">
        <f>'Seguimiento (Viejo) '!C20</f>
        <v xml:space="preserve">Reclamación </v>
      </c>
      <c r="D20" s="33">
        <f>'Seguimiento (Viejo) '!D20</f>
        <v>44788</v>
      </c>
      <c r="E20" s="24" t="str">
        <f>'Seguimiento (Viejo) '!H20</f>
        <v>Certificaciones de Cargos</v>
      </c>
      <c r="F20" s="24" t="s">
        <v>81</v>
      </c>
      <c r="G20" s="24" t="str">
        <f>'Seguimiento (Viejo) '!L19</f>
        <v>Bajo</v>
      </c>
      <c r="H20" s="24" t="s">
        <v>86</v>
      </c>
      <c r="I20" s="24" t="s">
        <v>87</v>
      </c>
      <c r="J20" s="33">
        <v>44788</v>
      </c>
      <c r="K20" s="33">
        <v>44790</v>
      </c>
      <c r="L20" s="24" t="s">
        <v>74</v>
      </c>
      <c r="M20" s="23" t="s">
        <v>85</v>
      </c>
      <c r="N20" s="24">
        <f>+NETWORKDAYS(J20,K20,Hoja3!A10:A33)-1</f>
        <v>1</v>
      </c>
    </row>
    <row r="21" spans="2:14">
      <c r="B21" s="10" t="str">
        <f>'Seguimiento (Viejo) '!B21</f>
        <v>S01</v>
      </c>
      <c r="C21" s="24" t="str">
        <f>'Seguimiento (Viejo) '!C21</f>
        <v xml:space="preserve">Sugerencia </v>
      </c>
      <c r="D21" s="33">
        <f>'Seguimiento (Viejo) '!D21</f>
        <v>44797</v>
      </c>
      <c r="E21" s="24" t="str">
        <f>'Seguimiento (Viejo) '!H21</f>
        <v>Servicio de Comida</v>
      </c>
      <c r="F21" s="24"/>
      <c r="G21" s="36" t="str">
        <f>'Seguimiento (Viejo) '!L20</f>
        <v>Medio</v>
      </c>
      <c r="H21" s="26"/>
      <c r="I21" s="26"/>
      <c r="J21" s="26"/>
      <c r="K21" s="26"/>
      <c r="L21" s="26"/>
      <c r="M21" s="26"/>
      <c r="N21" s="24">
        <f>+NETWORKDAYS(J21,K21,Hoja3!A11:A34)-1</f>
        <v>-1</v>
      </c>
    </row>
    <row r="22" spans="2:14" ht="57.6">
      <c r="B22" s="10" t="str">
        <f>'Seguimiento (Viejo) '!B22</f>
        <v>Q07</v>
      </c>
      <c r="C22" s="24" t="str">
        <f>'Seguimiento (Viejo) '!C22</f>
        <v>Queja</v>
      </c>
      <c r="D22" s="33">
        <f>'Seguimiento (Viejo) '!D22</f>
        <v>44798</v>
      </c>
      <c r="E22" s="24" t="str">
        <f>'Seguimiento (Viejo) '!H22</f>
        <v xml:space="preserve">Autorización de Ordenes de pago </v>
      </c>
      <c r="F22" s="24" t="s">
        <v>151</v>
      </c>
      <c r="G22" s="24" t="str">
        <f>'Seguimiento (Viejo) '!L21</f>
        <v>Bajo</v>
      </c>
      <c r="H22" s="26" t="s">
        <v>152</v>
      </c>
      <c r="I22" s="26"/>
      <c r="J22" s="34">
        <v>44798</v>
      </c>
      <c r="K22" s="34">
        <v>44812</v>
      </c>
      <c r="L22" s="26" t="s">
        <v>190</v>
      </c>
      <c r="M22" s="35" t="s">
        <v>110</v>
      </c>
      <c r="N22" s="24">
        <f>+NETWORKDAYS(J22,K22,Hoja3!A12:A35)-1</f>
        <v>10</v>
      </c>
    </row>
    <row r="23" spans="2:14" ht="28.8">
      <c r="B23" s="10" t="str">
        <f>'Seguimiento (Viejo) '!B23</f>
        <v>R03</v>
      </c>
      <c r="C23" s="24" t="str">
        <f>'Seguimiento (Viejo) '!C23</f>
        <v xml:space="preserve">Reclamación </v>
      </c>
      <c r="D23" s="33">
        <f>'Seguimiento (Viejo) '!D23</f>
        <v>44799</v>
      </c>
      <c r="E23" s="24" t="str">
        <f>'Seguimiento (Viejo) '!H23</f>
        <v>Certificaciones de Cargos</v>
      </c>
      <c r="F23" s="24" t="s">
        <v>115</v>
      </c>
      <c r="G23" s="24" t="str">
        <f>'Seguimiento (Viejo) '!L22</f>
        <v>Bajo</v>
      </c>
      <c r="H23" s="26" t="s">
        <v>116</v>
      </c>
      <c r="I23" s="26" t="s">
        <v>117</v>
      </c>
      <c r="J23" s="34">
        <v>44799</v>
      </c>
      <c r="K23" s="34">
        <v>44799</v>
      </c>
      <c r="L23" s="26" t="s">
        <v>94</v>
      </c>
      <c r="M23" s="35" t="s">
        <v>114</v>
      </c>
      <c r="N23" s="24">
        <f>+NETWORKDAYS(J23,K23,Hoja3!A13:A36)-1</f>
        <v>0</v>
      </c>
    </row>
    <row r="24" spans="2:14">
      <c r="B24" s="10" t="str">
        <f>'Seguimiento (Viejo) '!B24</f>
        <v>R04</v>
      </c>
      <c r="C24" s="24" t="str">
        <f>'Seguimiento (Viejo) '!C24</f>
        <v xml:space="preserve">Reclamación </v>
      </c>
      <c r="D24" s="33">
        <f>'Seguimiento (Viejo) '!D24</f>
        <v>44810</v>
      </c>
      <c r="E24" s="24" t="str">
        <f>'Seguimiento (Viejo) '!H24</f>
        <v xml:space="preserve">Autorización de Ordenes de pago </v>
      </c>
      <c r="F24" s="24"/>
      <c r="G24" s="24" t="str">
        <f>'Seguimiento (Viejo) '!L23</f>
        <v>Bajo</v>
      </c>
      <c r="H24" s="26"/>
      <c r="I24" s="26"/>
      <c r="J24" s="26"/>
      <c r="K24" s="26"/>
      <c r="L24" s="26"/>
      <c r="M24" s="26"/>
      <c r="N24" s="24">
        <f>+NETWORKDAYS(J24,K24,Hoja3!A14:A37)-1</f>
        <v>-1</v>
      </c>
    </row>
    <row r="25" spans="2:14" ht="72">
      <c r="B25" s="10" t="str">
        <f>'Seguimiento (Viejo) '!B25</f>
        <v>R05</v>
      </c>
      <c r="C25" s="24" t="str">
        <f>'Seguimiento (Viejo) '!C25</f>
        <v xml:space="preserve">Reclamación </v>
      </c>
      <c r="D25" s="33">
        <f>'Seguimiento (Viejo) '!D25</f>
        <v>44810</v>
      </c>
      <c r="E25" s="24" t="str">
        <f>'Seguimiento (Viejo) '!H25</f>
        <v>Certificaciones de Cargos</v>
      </c>
      <c r="F25" s="24" t="s">
        <v>153</v>
      </c>
      <c r="G25" s="24" t="str">
        <f>'Seguimiento (Viejo) '!L24</f>
        <v>Bajo</v>
      </c>
      <c r="H25" s="26" t="s">
        <v>154</v>
      </c>
      <c r="I25" s="26" t="s">
        <v>155</v>
      </c>
      <c r="J25" s="34">
        <v>44810</v>
      </c>
      <c r="K25" s="34">
        <v>44810</v>
      </c>
      <c r="L25" s="26" t="s">
        <v>94</v>
      </c>
      <c r="M25" s="35" t="s">
        <v>123</v>
      </c>
      <c r="N25" s="24">
        <f>+NETWORKDAYS(J25,K25,Hoja3!A15:A38)-1</f>
        <v>0</v>
      </c>
    </row>
    <row r="26" spans="2:14" ht="72">
      <c r="B26" s="10" t="str">
        <f>'Seguimiento (Viejo) '!B26</f>
        <v>R06</v>
      </c>
      <c r="C26" s="24" t="str">
        <f>'Seguimiento (Viejo) '!C26</f>
        <v xml:space="preserve">Reclamación </v>
      </c>
      <c r="D26" s="33">
        <f>'Seguimiento (Viejo) '!D26</f>
        <v>44810</v>
      </c>
      <c r="E26" s="24" t="str">
        <f>'Seguimiento (Viejo) '!H26</f>
        <v>Certificaciones de Cargos</v>
      </c>
      <c r="F26" s="24" t="s">
        <v>134</v>
      </c>
      <c r="G26" s="24" t="str">
        <f>'Seguimiento (Viejo) '!L25</f>
        <v>Bajo</v>
      </c>
      <c r="H26" s="26" t="s">
        <v>135</v>
      </c>
      <c r="I26" s="26" t="s">
        <v>136</v>
      </c>
      <c r="J26" s="34">
        <v>44810</v>
      </c>
      <c r="K26" s="34">
        <v>44811</v>
      </c>
      <c r="L26" s="26" t="s">
        <v>94</v>
      </c>
      <c r="M26" s="35" t="s">
        <v>124</v>
      </c>
      <c r="N26" s="24">
        <f>+NETWORKDAYS(J26,K26,Hoja3!A16:A39)-1</f>
        <v>1</v>
      </c>
    </row>
    <row r="27" spans="2:14">
      <c r="B27" s="10" t="str">
        <f>'Seguimiento (Viejo) '!B27</f>
        <v>Q08</v>
      </c>
      <c r="C27" s="24" t="str">
        <f>'Seguimiento (Viejo) '!C27</f>
        <v>Queja</v>
      </c>
      <c r="D27" s="33">
        <f>'Seguimiento (Viejo) '!D27</f>
        <v>44811</v>
      </c>
      <c r="E27" s="24" t="str">
        <f>'Seguimiento (Viejo) '!H27</f>
        <v xml:space="preserve">Dirección de Recursos Humanos </v>
      </c>
      <c r="F27" s="24"/>
      <c r="G27" s="24" t="str">
        <f>'Seguimiento (Viejo) '!L26</f>
        <v>Bajo</v>
      </c>
      <c r="H27" s="26"/>
      <c r="I27" s="26"/>
      <c r="J27" s="26"/>
      <c r="K27" s="26"/>
      <c r="L27" s="26"/>
      <c r="M27" s="26"/>
      <c r="N27" s="24">
        <f>+NETWORKDAYS(J27,K27,Hoja3!A17:A40)-1</f>
        <v>-1</v>
      </c>
    </row>
    <row r="28" spans="2:14">
      <c r="B28" s="10" t="str">
        <f>'Seguimiento (Viejo) '!B28</f>
        <v>R07</v>
      </c>
      <c r="C28" s="24" t="str">
        <f>'Seguimiento (Viejo) '!C28</f>
        <v xml:space="preserve">Reclamación </v>
      </c>
      <c r="D28" s="33">
        <f>'Seguimiento (Viejo) '!D28</f>
        <v>44812</v>
      </c>
      <c r="E28" s="24" t="str">
        <f>'Seguimiento (Viejo) '!H28</f>
        <v>Departamento de Auditoría</v>
      </c>
      <c r="F28" s="24"/>
      <c r="G28" s="36" t="str">
        <f>'Seguimiento (Viejo) '!L27</f>
        <v>Bajo</v>
      </c>
      <c r="H28" s="26"/>
      <c r="I28" s="26"/>
      <c r="J28" s="26"/>
      <c r="K28" s="26"/>
      <c r="L28" s="26"/>
      <c r="M28" s="26"/>
      <c r="N28" s="24">
        <f>+NETWORKDAYS(J28,K28,Hoja3!A18:A41)-1</f>
        <v>-1</v>
      </c>
    </row>
    <row r="29" spans="2:14" ht="72">
      <c r="B29" s="10" t="str">
        <f>'Seguimiento (Viejo) '!B29</f>
        <v>Q09</v>
      </c>
      <c r="C29" s="24" t="str">
        <f>'Seguimiento (Viejo) '!C29</f>
        <v>Queja</v>
      </c>
      <c r="D29" s="33">
        <f>'Seguimiento (Viejo) '!D29</f>
        <v>44812</v>
      </c>
      <c r="E29" s="24" t="str">
        <f>'Seguimiento (Viejo) '!H29</f>
        <v>General</v>
      </c>
      <c r="F29" s="24" t="s">
        <v>181</v>
      </c>
      <c r="G29" s="24" t="str">
        <f>'Seguimiento (Viejo) '!L28</f>
        <v>Medio</v>
      </c>
      <c r="H29" s="26" t="s">
        <v>182</v>
      </c>
      <c r="I29" s="26" t="s">
        <v>183</v>
      </c>
      <c r="J29" s="34">
        <v>44812</v>
      </c>
      <c r="K29" s="34">
        <v>44833</v>
      </c>
      <c r="L29" s="26" t="s">
        <v>184</v>
      </c>
      <c r="M29" s="35" t="s">
        <v>149</v>
      </c>
      <c r="N29" s="24">
        <f>+NETWORKDAYS(J29,K29,Hoja3!A19:A42)-1</f>
        <v>14</v>
      </c>
    </row>
    <row r="30" spans="2:14" ht="81" customHeight="1">
      <c r="B30" s="10" t="str">
        <f>'Seguimiento (Viejo) '!B30</f>
        <v>Q10</v>
      </c>
      <c r="C30" s="24" t="str">
        <f>'Seguimiento (Viejo) '!C30</f>
        <v>Queja</v>
      </c>
      <c r="D30" s="33">
        <f>'Seguimiento (Viejo) '!D30</f>
        <v>44816</v>
      </c>
      <c r="E30" s="24" t="str">
        <f>'Seguimiento (Viejo) '!H30</f>
        <v>Certificaciones de Cargos</v>
      </c>
      <c r="F30" s="24" t="s">
        <v>153</v>
      </c>
      <c r="G30" s="42" t="str">
        <f>'Seguimiento (Viejo) '!L29</f>
        <v>Alto</v>
      </c>
      <c r="H30" s="26" t="s">
        <v>162</v>
      </c>
      <c r="I30" s="26" t="s">
        <v>40</v>
      </c>
      <c r="J30" s="34">
        <v>44816</v>
      </c>
      <c r="K30" s="34">
        <v>44816</v>
      </c>
      <c r="L30" s="26" t="s">
        <v>94</v>
      </c>
      <c r="M30" s="26"/>
      <c r="N30" s="24">
        <f>+NETWORKDAYS(J30,K30,Hoja3!A20:A43)-1</f>
        <v>0</v>
      </c>
    </row>
    <row r="31" spans="2:14" ht="57.6">
      <c r="B31" s="10" t="str">
        <f>'Seguimiento (Viejo) '!B31</f>
        <v>R08</v>
      </c>
      <c r="C31" s="24" t="str">
        <f>'Seguimiento (Viejo) '!C31</f>
        <v xml:space="preserve">Reclamación </v>
      </c>
      <c r="D31" s="33">
        <f>'Seguimiento (Viejo) '!D31</f>
        <v>44827</v>
      </c>
      <c r="E31" s="24" t="str">
        <f>'Seguimiento (Viejo) '!H31</f>
        <v>Certificaciones de Cargos</v>
      </c>
      <c r="F31" s="41" t="s">
        <v>188</v>
      </c>
      <c r="G31" s="24" t="str">
        <f>'Seguimiento (Viejo) '!L30</f>
        <v>Bajo</v>
      </c>
      <c r="H31" s="40" t="s">
        <v>189</v>
      </c>
      <c r="I31" s="40" t="s">
        <v>187</v>
      </c>
      <c r="J31" s="34">
        <v>44827</v>
      </c>
      <c r="K31" s="34">
        <v>44831</v>
      </c>
      <c r="L31" s="26" t="s">
        <v>94</v>
      </c>
      <c r="M31" s="35" t="s">
        <v>163</v>
      </c>
      <c r="N31" s="24">
        <f>+NETWORKDAYS(J31,K31,Hoja3!A21:A44)-1</f>
        <v>2</v>
      </c>
    </row>
    <row r="32" spans="2:14" ht="57.6">
      <c r="B32" s="10" t="str">
        <f>'Seguimiento (Viejo) '!B32</f>
        <v>R09</v>
      </c>
      <c r="C32" s="24" t="str">
        <f>'Seguimiento (Viejo) '!C32</f>
        <v xml:space="preserve">Reclamación </v>
      </c>
      <c r="D32" s="33">
        <f>'Seguimiento (Viejo) '!D32</f>
        <v>44830</v>
      </c>
      <c r="E32" s="24" t="str">
        <f>'Seguimiento (Viejo) '!H32</f>
        <v>Certificaciones de Cargos</v>
      </c>
      <c r="F32" s="24" t="s">
        <v>185</v>
      </c>
      <c r="G32" s="24" t="str">
        <f>'Seguimiento (Viejo) '!L31</f>
        <v>Bajo</v>
      </c>
      <c r="H32" s="26" t="s">
        <v>186</v>
      </c>
      <c r="I32" s="26" t="s">
        <v>187</v>
      </c>
      <c r="J32" s="34">
        <v>44830</v>
      </c>
      <c r="K32" s="34">
        <v>44831</v>
      </c>
      <c r="L32" s="26" t="s">
        <v>94</v>
      </c>
      <c r="M32" s="35" t="s">
        <v>166</v>
      </c>
      <c r="N32" s="24">
        <f>+NETWORKDAYS(J32,K32,Hoja3!A22:A45)-1</f>
        <v>1</v>
      </c>
    </row>
    <row r="33" spans="1:14">
      <c r="B33" s="10" t="str">
        <f>'Seguimiento (Viejo) '!B33</f>
        <v>R10</v>
      </c>
      <c r="C33" s="24" t="str">
        <f>'Seguimiento (Viejo) '!C33</f>
        <v xml:space="preserve">Reclamación </v>
      </c>
      <c r="D33" s="33">
        <f>'Seguimiento (Viejo) '!D33</f>
        <v>44833</v>
      </c>
      <c r="E33" s="24" t="str">
        <f>'Seguimiento (Viejo) '!H33</f>
        <v>Certificaciones de Cargos</v>
      </c>
      <c r="F33" s="24" t="s">
        <v>250</v>
      </c>
      <c r="G33" s="24" t="str">
        <f>'Seguimiento (Viejo) '!L32</f>
        <v>Bajo</v>
      </c>
      <c r="H33" s="27" t="s">
        <v>250</v>
      </c>
      <c r="I33" s="27" t="s">
        <v>250</v>
      </c>
      <c r="J33" s="27" t="s">
        <v>250</v>
      </c>
      <c r="K33" s="27" t="s">
        <v>250</v>
      </c>
      <c r="L33" s="26"/>
      <c r="M33" s="26"/>
      <c r="N33" s="24" t="e">
        <f>+NETWORKDAYS(J33,K33,Hoja3!A23:A46)-1</f>
        <v>#VALUE!</v>
      </c>
    </row>
    <row r="34" spans="1:14" ht="57.6">
      <c r="B34" s="10" t="str">
        <f>'Seguimiento (Viejo) '!B34</f>
        <v>Q11</v>
      </c>
      <c r="C34" s="24" t="str">
        <f>'Seguimiento (Viejo) '!C34</f>
        <v>Queja</v>
      </c>
      <c r="D34" s="33">
        <f>'Seguimiento (Viejo) '!D34</f>
        <v>44838</v>
      </c>
      <c r="E34" s="24" t="str">
        <f>'Seguimiento (Viejo) '!H34</f>
        <v>Servicios Personales</v>
      </c>
      <c r="F34" s="24" t="s">
        <v>209</v>
      </c>
      <c r="G34" s="24" t="str">
        <f>'Seguimiento (Viejo) '!L33</f>
        <v>Bajo</v>
      </c>
      <c r="H34" s="26" t="s">
        <v>210</v>
      </c>
      <c r="I34" s="26" t="s">
        <v>211</v>
      </c>
      <c r="J34" s="34">
        <v>44840</v>
      </c>
      <c r="K34" s="34">
        <v>44841</v>
      </c>
      <c r="L34" s="26" t="s">
        <v>88</v>
      </c>
      <c r="M34" s="35" t="s">
        <v>212</v>
      </c>
      <c r="N34" s="24">
        <f>+NETWORKDAYS(J34,K34,Hoja3!A24:A47)-1</f>
        <v>1</v>
      </c>
    </row>
    <row r="35" spans="1:14" ht="86.4">
      <c r="B35" s="10" t="str">
        <f>'Seguimiento (Viejo) '!B35</f>
        <v>R12</v>
      </c>
      <c r="C35" s="24" t="str">
        <f>'Seguimiento (Viejo) '!C35</f>
        <v xml:space="preserve">Reclamación </v>
      </c>
      <c r="D35" s="33">
        <f>'Seguimiento (Viejo) '!D35</f>
        <v>44839</v>
      </c>
      <c r="E35" s="24" t="str">
        <f>'Seguimiento (Viejo) '!H35</f>
        <v>Certificaciones de Cargos</v>
      </c>
      <c r="F35" s="24" t="s">
        <v>205</v>
      </c>
      <c r="G35" s="36" t="str">
        <f>'Seguimiento (Viejo) '!L34</f>
        <v>Medio</v>
      </c>
      <c r="H35" s="26" t="s">
        <v>206</v>
      </c>
      <c r="I35" s="26" t="s">
        <v>207</v>
      </c>
      <c r="J35" s="34">
        <v>44840</v>
      </c>
      <c r="K35" s="34">
        <v>44841</v>
      </c>
      <c r="L35" s="26" t="s">
        <v>94</v>
      </c>
      <c r="M35" s="35" t="s">
        <v>208</v>
      </c>
      <c r="N35" s="24">
        <f>+NETWORKDAYS(J35,K35,Hoja3!A25:A48)-1</f>
        <v>1</v>
      </c>
    </row>
    <row r="36" spans="1:14" ht="72">
      <c r="B36" s="10" t="str">
        <f>+'Seguimiento (Viejo) '!B37</f>
        <v>R13</v>
      </c>
      <c r="C36" s="24" t="str">
        <f>'Seguimiento (Viejo) '!C36</f>
        <v xml:space="preserve">Reclamación </v>
      </c>
      <c r="D36" s="33">
        <f>'Seguimiento (Viejo) '!D36</f>
        <v>44840</v>
      </c>
      <c r="E36" s="24" t="str">
        <f>'Seguimiento (Viejo) '!H36</f>
        <v>Certificaciones de Cargos</v>
      </c>
      <c r="F36" s="24" t="s">
        <v>244</v>
      </c>
      <c r="G36" s="24" t="str">
        <f>'Seguimiento (Viejo) '!L35</f>
        <v>Bajo</v>
      </c>
      <c r="H36" s="26" t="s">
        <v>245</v>
      </c>
      <c r="I36" s="26" t="s">
        <v>246</v>
      </c>
      <c r="J36" s="34">
        <v>44851</v>
      </c>
      <c r="K36" s="34">
        <v>44855</v>
      </c>
      <c r="L36" s="26" t="s">
        <v>94</v>
      </c>
      <c r="M36" s="26"/>
      <c r="N36" s="24">
        <f>+NETWORKDAYS(J36,K36,Hoja3!A26:A49)-1</f>
        <v>4</v>
      </c>
    </row>
    <row r="37" spans="1:14" ht="72">
      <c r="B37" s="10" t="str">
        <f>'Seguimiento (Viejo) '!B36</f>
        <v>R11</v>
      </c>
      <c r="C37" s="24" t="str">
        <f>'Seguimiento (Viejo) '!C37</f>
        <v xml:space="preserve">Reclamación </v>
      </c>
      <c r="D37" s="33">
        <f>'Seguimiento (Viejo) '!D37</f>
        <v>44851</v>
      </c>
      <c r="E37" s="24" t="str">
        <f>'Seguimiento (Viejo) '!H37</f>
        <v>Certificaciones de Cargos</v>
      </c>
      <c r="F37" s="56" t="s">
        <v>247</v>
      </c>
      <c r="G37" s="24" t="str">
        <f>'Seguimiento (Viejo) '!L36</f>
        <v>Bajo</v>
      </c>
      <c r="H37" s="26" t="s">
        <v>248</v>
      </c>
      <c r="I37" s="26" t="s">
        <v>249</v>
      </c>
      <c r="J37" s="34">
        <v>44848</v>
      </c>
      <c r="K37" s="34">
        <v>44848</v>
      </c>
      <c r="L37" s="26" t="s">
        <v>94</v>
      </c>
      <c r="M37" s="26"/>
      <c r="N37" s="24">
        <f>+NETWORKDAYS(J37,K37,Hoja3!A27:A50)-1</f>
        <v>0</v>
      </c>
    </row>
    <row r="38" spans="1:14" ht="72">
      <c r="B38" s="10" t="str">
        <f>'Seguimiento (Viejo) '!B38</f>
        <v>R14</v>
      </c>
      <c r="C38" s="24" t="str">
        <f>'Seguimiento (Viejo) '!C38</f>
        <v xml:space="preserve">Reclamación </v>
      </c>
      <c r="D38" s="33">
        <f>'Seguimiento (Viejo) '!D38</f>
        <v>44854</v>
      </c>
      <c r="E38" s="24" t="str">
        <f>'Seguimiento (Viejo) '!H38</f>
        <v>Certificaciones de Cargos</v>
      </c>
      <c r="F38" s="24" t="s">
        <v>300</v>
      </c>
      <c r="G38" s="24" t="str">
        <f>'Seguimiento (Viejo) '!L37</f>
        <v>Bajo</v>
      </c>
      <c r="H38" s="26" t="s">
        <v>301</v>
      </c>
      <c r="I38" s="26" t="s">
        <v>302</v>
      </c>
      <c r="J38" s="34">
        <v>44854</v>
      </c>
      <c r="K38" s="34">
        <v>44858</v>
      </c>
      <c r="L38" s="26" t="s">
        <v>94</v>
      </c>
      <c r="M38" s="35" t="s">
        <v>303</v>
      </c>
      <c r="N38" s="24">
        <f>+NETWORKDAYS(J38,K38,Hoja3!A28:A51)-1</f>
        <v>2</v>
      </c>
    </row>
    <row r="39" spans="1:14" ht="72">
      <c r="B39" s="10" t="str">
        <f>'Seguimiento (Viejo) '!B39</f>
        <v>R15</v>
      </c>
      <c r="C39" s="24" t="str">
        <f>'Seguimiento (Viejo) '!C39</f>
        <v xml:space="preserve">Reclamación </v>
      </c>
      <c r="D39" s="33">
        <f>'Seguimiento (Viejo) '!D39</f>
        <v>44854</v>
      </c>
      <c r="E39" s="24" t="str">
        <f>'Seguimiento (Viejo) '!H39</f>
        <v>Certificaciones de Cargos</v>
      </c>
      <c r="F39" s="24" t="s">
        <v>238</v>
      </c>
      <c r="G39" s="24" t="str">
        <f>'Seguimiento (Viejo) '!L38</f>
        <v>Bajo</v>
      </c>
      <c r="H39" s="26" t="s">
        <v>239</v>
      </c>
      <c r="I39" s="26" t="s">
        <v>240</v>
      </c>
      <c r="J39" s="34">
        <v>44855</v>
      </c>
      <c r="K39" s="34">
        <v>44855</v>
      </c>
      <c r="L39" s="26" t="s">
        <v>94</v>
      </c>
      <c r="M39" s="35" t="s">
        <v>242</v>
      </c>
      <c r="N39" s="24">
        <f>+NETWORKDAYS(J39,K39,Hoja3!A29:A52)-1</f>
        <v>0</v>
      </c>
    </row>
    <row r="40" spans="1:14" ht="72">
      <c r="B40" s="10" t="str">
        <f>'Seguimiento (Viejo) '!B40</f>
        <v>R16</v>
      </c>
      <c r="C40" s="24" t="str">
        <f>'Seguimiento (Viejo) '!C40</f>
        <v xml:space="preserve">Reclamación </v>
      </c>
      <c r="D40" s="33">
        <f>'Seguimiento (Viejo) '!D40</f>
        <v>44855</v>
      </c>
      <c r="E40" s="24" t="str">
        <f>'Seguimiento (Viejo) '!H39</f>
        <v>Certificaciones de Cargos</v>
      </c>
      <c r="F40" s="24" t="s">
        <v>262</v>
      </c>
      <c r="G40" s="24" t="str">
        <f>'Seguimiento (Viejo) '!L39</f>
        <v>Bajo</v>
      </c>
      <c r="H40" s="26" t="s">
        <v>237</v>
      </c>
      <c r="I40" s="26" t="s">
        <v>236</v>
      </c>
      <c r="J40" s="34">
        <v>44855</v>
      </c>
      <c r="K40" s="34">
        <v>44858</v>
      </c>
      <c r="L40" s="26" t="s">
        <v>241</v>
      </c>
      <c r="M40" s="35" t="s">
        <v>243</v>
      </c>
      <c r="N40" s="24">
        <f>+NETWORKDAYS(J40,K40,Hoja3!A30:A53)-1</f>
        <v>1</v>
      </c>
    </row>
    <row r="41" spans="1:14" ht="86.4">
      <c r="B41" s="10" t="str">
        <f>'Seguimiento (Viejo) '!B41</f>
        <v>R17</v>
      </c>
      <c r="C41" s="24" t="str">
        <f>'Seguimiento (Viejo) '!C41</f>
        <v xml:space="preserve">Reclamación </v>
      </c>
      <c r="D41" s="33">
        <f>'Seguimiento (Viejo) '!D41</f>
        <v>44861</v>
      </c>
      <c r="E41" s="24" t="str">
        <f>'Seguimiento (Viejo) '!H40</f>
        <v>Certificaciones de Cargos</v>
      </c>
      <c r="F41" s="45" t="s">
        <v>244</v>
      </c>
      <c r="G41" s="24" t="str">
        <f>'Seguimiento (Viejo) '!L40</f>
        <v>Bajo</v>
      </c>
      <c r="H41" s="40" t="s">
        <v>290</v>
      </c>
      <c r="I41" s="39" t="s">
        <v>291</v>
      </c>
      <c r="J41" s="43">
        <v>44861</v>
      </c>
      <c r="K41" s="43">
        <v>44866</v>
      </c>
      <c r="L41" s="39" t="s">
        <v>94</v>
      </c>
      <c r="M41" s="39" t="s">
        <v>40</v>
      </c>
      <c r="N41" s="24">
        <f>+NETWORKDAYS(J41,K41,Hoja3!A31:A54)-1</f>
        <v>3</v>
      </c>
    </row>
    <row r="42" spans="1:14" ht="57.6">
      <c r="B42" s="10" t="str">
        <f>'Seguimiento (Viejo) '!B42</f>
        <v>R18</v>
      </c>
      <c r="C42" s="24" t="str">
        <f>'Seguimiento (Viejo) '!C42</f>
        <v xml:space="preserve">Reclamación </v>
      </c>
      <c r="D42" s="33">
        <f>'Seguimiento (Viejo) '!D42</f>
        <v>44861</v>
      </c>
      <c r="E42" s="24" t="s">
        <v>39</v>
      </c>
      <c r="F42" s="45" t="s">
        <v>296</v>
      </c>
      <c r="G42" s="24" t="str">
        <f>'Seguimiento (Viejo) '!L41</f>
        <v>Bajo</v>
      </c>
      <c r="H42" s="40" t="s">
        <v>297</v>
      </c>
      <c r="I42" s="40" t="s">
        <v>298</v>
      </c>
      <c r="J42" s="43">
        <v>44861</v>
      </c>
      <c r="K42" s="43">
        <v>44882</v>
      </c>
      <c r="L42" s="39" t="s">
        <v>94</v>
      </c>
      <c r="M42" s="44" t="s">
        <v>292</v>
      </c>
      <c r="N42" s="24">
        <f>+NETWORKDAYS(J42,K42,Hoja3!A32:A55)-1</f>
        <v>15</v>
      </c>
    </row>
    <row r="43" spans="1:14" ht="86.4">
      <c r="A43"/>
      <c r="B43" s="41" t="str">
        <f>'Seguimiento (Viejo) '!B43</f>
        <v>Q12</v>
      </c>
      <c r="C43" s="45" t="str">
        <f>'Seguimiento (Viejo) '!C43</f>
        <v>Queja</v>
      </c>
      <c r="D43" s="54">
        <f>'Seguimiento (Viejo) '!D43</f>
        <v>44861</v>
      </c>
      <c r="E43" s="45" t="s">
        <v>261</v>
      </c>
      <c r="F43" s="45" t="s">
        <v>299</v>
      </c>
      <c r="G43" s="42" t="str">
        <f>'Seguimiento (Viejo) '!L42</f>
        <v>Bajo</v>
      </c>
      <c r="H43" s="40" t="s">
        <v>378</v>
      </c>
      <c r="I43" s="40" t="s">
        <v>379</v>
      </c>
      <c r="J43" s="43">
        <v>44861</v>
      </c>
      <c r="K43" s="43">
        <v>44868</v>
      </c>
      <c r="L43" s="39" t="s">
        <v>78</v>
      </c>
      <c r="M43" s="44" t="s">
        <v>380</v>
      </c>
      <c r="N43" s="45">
        <f>+NETWORKDAYS(J43,K43,Hoja3!A33:A56)-1</f>
        <v>5</v>
      </c>
    </row>
    <row r="44" spans="1:14" ht="100.8">
      <c r="B44" s="10" t="str">
        <f>'Seguimiento (Viejo) '!B44</f>
        <v>R19</v>
      </c>
      <c r="C44" s="24" t="str">
        <f>'Seguimiento (Viejo) '!C44</f>
        <v xml:space="preserve">Reclamación </v>
      </c>
      <c r="D44" s="33">
        <f>'Seguimiento (Viejo) '!D44</f>
        <v>44869</v>
      </c>
      <c r="E44" s="24" t="s">
        <v>304</v>
      </c>
      <c r="F44" s="45" t="s">
        <v>305</v>
      </c>
      <c r="G44" s="24" t="str">
        <f>'Seguimiento (Viejo) '!L43</f>
        <v>Bajo</v>
      </c>
      <c r="H44" s="40" t="s">
        <v>310</v>
      </c>
      <c r="I44" s="40" t="s">
        <v>306</v>
      </c>
      <c r="J44" s="43">
        <v>44868</v>
      </c>
      <c r="K44" s="43">
        <v>44872</v>
      </c>
      <c r="L44" s="39" t="s">
        <v>94</v>
      </c>
      <c r="M44" s="44" t="s">
        <v>293</v>
      </c>
      <c r="N44" s="24">
        <f>+NETWORKDAYS(J44,K44,Hoja3!A34:A57)-1</f>
        <v>2</v>
      </c>
    </row>
    <row r="45" spans="1:14" ht="74.400000000000006" customHeight="1">
      <c r="B45" s="10" t="str">
        <f>'Seguimiento (Viejo) '!B45</f>
        <v>R20</v>
      </c>
      <c r="C45" s="24" t="str">
        <f>'Seguimiento (Viejo) '!C45</f>
        <v xml:space="preserve">Reclamación </v>
      </c>
      <c r="D45" s="33">
        <f>'Seguimiento (Viejo) '!D45</f>
        <v>44869</v>
      </c>
      <c r="E45" s="24" t="s">
        <v>307</v>
      </c>
      <c r="F45" s="45" t="s">
        <v>308</v>
      </c>
      <c r="G45" s="24" t="str">
        <f>'Seguimiento (Viejo) '!L44</f>
        <v>Bajo</v>
      </c>
      <c r="H45" s="47" t="s">
        <v>309</v>
      </c>
      <c r="I45" s="47" t="s">
        <v>40</v>
      </c>
      <c r="J45" s="48" t="s">
        <v>40</v>
      </c>
      <c r="K45" s="48" t="s">
        <v>40</v>
      </c>
      <c r="L45" s="48" t="s">
        <v>94</v>
      </c>
      <c r="M45" s="39"/>
      <c r="N45" s="24" t="e">
        <f>+NETWORKDAYS(J45,K45,Hoja3!A35:A58)-1</f>
        <v>#VALUE!</v>
      </c>
    </row>
    <row r="46" spans="1:14" ht="72">
      <c r="B46" s="10" t="str">
        <f>'Seguimiento (Viejo) '!B46</f>
        <v>R21</v>
      </c>
      <c r="C46" s="24" t="str">
        <f>'Seguimiento (Viejo) '!C46</f>
        <v xml:space="preserve">Reclamación </v>
      </c>
      <c r="D46" s="33">
        <f>'Seguimiento (Viejo) '!D46</f>
        <v>44879</v>
      </c>
      <c r="E46" s="24" t="s">
        <v>39</v>
      </c>
      <c r="F46" s="45" t="s">
        <v>313</v>
      </c>
      <c r="G46" s="24" t="str">
        <f>'Seguimiento (Viejo) '!L45</f>
        <v>Bajo</v>
      </c>
      <c r="H46" s="45" t="s">
        <v>311</v>
      </c>
      <c r="I46" s="45" t="s">
        <v>312</v>
      </c>
      <c r="J46" s="46">
        <v>44879</v>
      </c>
      <c r="K46" s="46">
        <v>44879</v>
      </c>
      <c r="L46" s="41" t="s">
        <v>94</v>
      </c>
      <c r="M46" s="44" t="s">
        <v>294</v>
      </c>
      <c r="N46" s="24">
        <f>+NETWORKDAYS(J46,K46,Hoja3!A36:A59)-1</f>
        <v>0</v>
      </c>
    </row>
    <row r="47" spans="1:14" ht="100.8">
      <c r="B47" s="10" t="str">
        <f>'Seguimiento (Viejo) '!B47</f>
        <v>R22</v>
      </c>
      <c r="C47" s="24" t="str">
        <f>'Seguimiento (Viejo) '!C47</f>
        <v xml:space="preserve">Reclamación </v>
      </c>
      <c r="D47" s="33">
        <f>'Seguimiento (Viejo) '!D47</f>
        <v>44879</v>
      </c>
      <c r="E47" s="24" t="s">
        <v>39</v>
      </c>
      <c r="F47" s="45" t="s">
        <v>308</v>
      </c>
      <c r="G47" s="24" t="str">
        <f>'Seguimiento (Viejo) '!L46</f>
        <v>Bajo</v>
      </c>
      <c r="H47" s="40" t="s">
        <v>310</v>
      </c>
      <c r="I47" s="40" t="s">
        <v>306</v>
      </c>
      <c r="J47" s="43">
        <v>44879</v>
      </c>
      <c r="K47" s="43">
        <v>44882</v>
      </c>
      <c r="L47" s="41" t="s">
        <v>94</v>
      </c>
      <c r="M47" s="44" t="s">
        <v>295</v>
      </c>
      <c r="N47" s="24">
        <f>+NETWORKDAYS(J47,K47,Hoja3!A37:A60)-1</f>
        <v>3</v>
      </c>
    </row>
    <row r="48" spans="1:14" ht="57.6">
      <c r="B48" s="10" t="str">
        <f>'Seguimiento (Viejo) '!B48</f>
        <v>R23</v>
      </c>
      <c r="C48" s="24" t="str">
        <f>'Seguimiento (Viejo) '!C48</f>
        <v xml:space="preserve">Reclamación </v>
      </c>
      <c r="D48" s="33">
        <f>'Seguimiento (Viejo) '!D48</f>
        <v>44887</v>
      </c>
      <c r="E48" s="41" t="s">
        <v>321</v>
      </c>
      <c r="F48" s="45" t="s">
        <v>322</v>
      </c>
      <c r="G48" s="24" t="str">
        <f>'Seguimiento (Viejo) '!L47</f>
        <v>Bajo</v>
      </c>
      <c r="H48" s="39"/>
      <c r="I48" s="39"/>
      <c r="J48" s="43">
        <v>44887</v>
      </c>
      <c r="K48" s="39"/>
      <c r="L48" s="39"/>
      <c r="M48" s="39"/>
      <c r="N48" s="24">
        <f>+NETWORKDAYS(J48,K48,Hoja3!A38:A61)-1</f>
        <v>-32063</v>
      </c>
    </row>
    <row r="49" spans="2:14" ht="100.8">
      <c r="B49" s="10" t="str">
        <f>'Seguimiento (Viejo) '!B49</f>
        <v>R24</v>
      </c>
      <c r="C49" s="24" t="str">
        <f>'Seguimiento (Viejo) '!C49</f>
        <v xml:space="preserve">Reclamación </v>
      </c>
      <c r="D49" s="33">
        <f>'Seguimiento (Viejo) '!D49</f>
        <v>44889</v>
      </c>
      <c r="E49" s="41" t="s">
        <v>323</v>
      </c>
      <c r="F49" s="45" t="s">
        <v>296</v>
      </c>
      <c r="G49" s="24" t="str">
        <f>'Seguimiento (Viejo) '!L48</f>
        <v>Bajo</v>
      </c>
      <c r="H49" s="40" t="s">
        <v>324</v>
      </c>
      <c r="I49" s="40" t="s">
        <v>325</v>
      </c>
      <c r="J49" s="43">
        <v>44889</v>
      </c>
      <c r="K49" s="43">
        <v>44895</v>
      </c>
      <c r="L49" s="39" t="s">
        <v>94</v>
      </c>
      <c r="M49" s="44" t="s">
        <v>326</v>
      </c>
      <c r="N49" s="24">
        <f>+NETWORKDAYS(J49,K49,Hoja3!A39:A62)-1</f>
        <v>4</v>
      </c>
    </row>
    <row r="50" spans="2:14" ht="72">
      <c r="B50" s="10" t="str">
        <f>'Seguimiento (Viejo) '!B50</f>
        <v>R25</v>
      </c>
      <c r="C50" s="24" t="str">
        <f>'Seguimiento (Viejo) '!C50</f>
        <v xml:space="preserve">Reclamación </v>
      </c>
      <c r="D50" s="33">
        <f>'Seguimiento (Viejo) '!D50</f>
        <v>44890</v>
      </c>
      <c r="E50" s="24" t="s">
        <v>39</v>
      </c>
      <c r="F50" s="45" t="s">
        <v>296</v>
      </c>
      <c r="G50" s="24" t="str">
        <f>'Seguimiento (Viejo) '!L49</f>
        <v>Bajo</v>
      </c>
      <c r="H50" s="40" t="s">
        <v>327</v>
      </c>
      <c r="I50" s="40" t="s">
        <v>328</v>
      </c>
      <c r="J50" s="43">
        <v>44890</v>
      </c>
      <c r="K50" s="43">
        <v>44897</v>
      </c>
      <c r="L50" s="39" t="s">
        <v>94</v>
      </c>
      <c r="M50" s="44" t="s">
        <v>329</v>
      </c>
      <c r="N50" s="24">
        <f>+NETWORKDAYS(J50,K50,Hoja3!A40:A63)-1</f>
        <v>5</v>
      </c>
    </row>
    <row r="51" spans="2:14" ht="100.8">
      <c r="B51" s="10" t="str">
        <f>'Seguimiento (Viejo) '!B51</f>
        <v>R26</v>
      </c>
      <c r="C51" s="24" t="str">
        <f>'Seguimiento (Viejo) '!C51</f>
        <v xml:space="preserve">Reclamación </v>
      </c>
      <c r="D51" s="33">
        <f>'Seguimiento (Viejo) '!D51</f>
        <v>44896</v>
      </c>
      <c r="E51" s="24" t="s">
        <v>39</v>
      </c>
      <c r="F51" s="45" t="s">
        <v>334</v>
      </c>
      <c r="G51" s="24" t="str">
        <f>'Seguimiento (Viejo) '!L50</f>
        <v>Bajo</v>
      </c>
      <c r="H51" s="40" t="s">
        <v>335</v>
      </c>
      <c r="I51" s="40" t="s">
        <v>357</v>
      </c>
      <c r="J51" s="43">
        <v>44896</v>
      </c>
      <c r="K51" s="43">
        <v>44897</v>
      </c>
      <c r="L51" s="39" t="s">
        <v>94</v>
      </c>
      <c r="M51" s="44" t="s">
        <v>358</v>
      </c>
      <c r="N51" s="24">
        <f>+NETWORKDAYS(J51,K51,Hoja3!A41:A64)-1</f>
        <v>1</v>
      </c>
    </row>
    <row r="52" spans="2:14" ht="86.4">
      <c r="B52" s="10" t="str">
        <f>'Seguimiento (Viejo) '!B53</f>
        <v>R27</v>
      </c>
      <c r="C52" s="24" t="str">
        <f>'Seguimiento (Viejo) '!C53</f>
        <v xml:space="preserve">Reclamación </v>
      </c>
      <c r="D52" s="33">
        <f>'Seguimiento (Viejo) '!D53</f>
        <v>44903</v>
      </c>
      <c r="E52" s="24" t="s">
        <v>350</v>
      </c>
      <c r="F52" s="45" t="s">
        <v>359</v>
      </c>
      <c r="G52" s="24" t="str">
        <f>'Seguimiento (Viejo) '!L51</f>
        <v>Bajo</v>
      </c>
      <c r="H52" s="40" t="s">
        <v>360</v>
      </c>
      <c r="I52" s="40" t="s">
        <v>361</v>
      </c>
      <c r="J52" s="43">
        <v>44903</v>
      </c>
      <c r="K52" s="43">
        <v>44910</v>
      </c>
      <c r="L52" s="39" t="s">
        <v>94</v>
      </c>
      <c r="M52" s="44" t="s">
        <v>367</v>
      </c>
      <c r="N52" s="24">
        <f>+NETWORKDAYS(J52,K52,Hoja3!A42:A65)-1</f>
        <v>5</v>
      </c>
    </row>
    <row r="53" spans="2:14" ht="129.6">
      <c r="B53" s="10" t="str">
        <f>'Seguimiento (Viejo) '!B54</f>
        <v>Q14</v>
      </c>
      <c r="C53" s="24" t="str">
        <f>'Seguimiento (Viejo) '!C54</f>
        <v>Queja</v>
      </c>
      <c r="D53" s="33">
        <f>'Seguimiento (Viejo) '!D54</f>
        <v>44907</v>
      </c>
      <c r="E53" s="24" t="s">
        <v>362</v>
      </c>
      <c r="F53" s="45" t="s">
        <v>363</v>
      </c>
      <c r="G53" s="24" t="str">
        <f>'Seguimiento (Viejo) '!L53</f>
        <v>Bajo</v>
      </c>
      <c r="H53" s="40" t="s">
        <v>364</v>
      </c>
      <c r="I53" s="40" t="s">
        <v>365</v>
      </c>
      <c r="J53" s="43">
        <v>44907</v>
      </c>
      <c r="K53" s="43">
        <v>44907</v>
      </c>
      <c r="L53" s="39" t="s">
        <v>338</v>
      </c>
      <c r="M53" s="44" t="s">
        <v>366</v>
      </c>
      <c r="N53" s="24">
        <f>+NETWORKDAYS(J53,K53,Hoja3!A43:A66)-1</f>
        <v>0</v>
      </c>
    </row>
    <row r="54" spans="2:14" ht="115.2">
      <c r="B54" s="10" t="str">
        <f>'Seguimiento (Viejo) '!B55</f>
        <v>Q15</v>
      </c>
      <c r="C54" s="24" t="str">
        <f>'Seguimiento (Viejo) '!C55</f>
        <v>Queja</v>
      </c>
      <c r="D54" s="33">
        <f>'Seguimiento (Viejo) '!D55</f>
        <v>44907</v>
      </c>
      <c r="E54" s="24" t="s">
        <v>368</v>
      </c>
      <c r="F54" s="45" t="s">
        <v>369</v>
      </c>
      <c r="G54" s="24" t="str">
        <f>'Seguimiento (Viejo) '!L54</f>
        <v>Bajo</v>
      </c>
      <c r="H54" s="40" t="s">
        <v>370</v>
      </c>
      <c r="I54" s="40" t="s">
        <v>371</v>
      </c>
      <c r="J54" s="43">
        <v>44907</v>
      </c>
      <c r="K54" s="43">
        <v>44916</v>
      </c>
      <c r="L54" s="39" t="s">
        <v>372</v>
      </c>
      <c r="M54" s="44" t="s">
        <v>373</v>
      </c>
      <c r="N54" s="24">
        <f>+NETWORKDAYS(J54,K54,Hoja3!A44:A67)-1</f>
        <v>7</v>
      </c>
    </row>
    <row r="55" spans="2:14" ht="28.8">
      <c r="B55" s="10" t="str">
        <f>'Seguimiento (Viejo) '!B56</f>
        <v>R28</v>
      </c>
      <c r="C55" s="24" t="str">
        <f>'Seguimiento (Viejo) '!C56</f>
        <v xml:space="preserve">Reclamación </v>
      </c>
      <c r="D55" s="33">
        <f>'Seguimiento (Viejo) '!D56</f>
        <v>44921</v>
      </c>
      <c r="E55" s="24" t="s">
        <v>39</v>
      </c>
      <c r="F55" s="45" t="s">
        <v>377</v>
      </c>
      <c r="G55" s="24" t="str">
        <f>'Seguimiento (Viejo) '!L55</f>
        <v>Bajo</v>
      </c>
      <c r="H55" s="39"/>
      <c r="I55" s="39"/>
      <c r="J55" s="39"/>
      <c r="K55" s="39"/>
      <c r="L55" s="39"/>
      <c r="M55" s="39"/>
      <c r="N55" s="24">
        <f>+NETWORKDAYS(J55,K55,Hoja3!A45:A68)-1</f>
        <v>-1</v>
      </c>
    </row>
    <row r="56" spans="2:14" ht="72">
      <c r="B56" s="10" t="str">
        <f>'Seguimiento (Viejo) '!B57</f>
        <v>R29</v>
      </c>
      <c r="C56" s="24" t="str">
        <f>'Seguimiento (Viejo) '!C57</f>
        <v xml:space="preserve">Reclamación </v>
      </c>
      <c r="D56" s="33">
        <f>'Seguimiento (Viejo) '!D57</f>
        <v>44954</v>
      </c>
      <c r="E56" s="24" t="s">
        <v>39</v>
      </c>
      <c r="F56" s="45" t="s">
        <v>374</v>
      </c>
      <c r="G56" s="24" t="str">
        <f>'Seguimiento (Viejo) '!L56</f>
        <v>Bajo</v>
      </c>
      <c r="H56" s="40" t="s">
        <v>375</v>
      </c>
      <c r="I56" s="40" t="s">
        <v>376</v>
      </c>
      <c r="J56" s="43">
        <v>44954</v>
      </c>
      <c r="K56" s="43">
        <v>44963</v>
      </c>
      <c r="L56" s="39" t="s">
        <v>94</v>
      </c>
      <c r="M56" s="39"/>
      <c r="N56" s="24">
        <f>+NETWORKDAYS(J56,K56,Hoja3!A46:A69)-1</f>
        <v>5</v>
      </c>
    </row>
    <row r="57" spans="2:14" ht="72">
      <c r="B57" s="10" t="str">
        <f>'Seguimiento (Viejo) '!B58</f>
        <v>R30</v>
      </c>
      <c r="C57" s="24" t="str">
        <f>'Seguimiento (Viejo) '!C58</f>
        <v xml:space="preserve">Reclamación </v>
      </c>
      <c r="D57" s="33">
        <f>'Seguimiento (Viejo) '!D58</f>
        <v>44958</v>
      </c>
      <c r="E57" s="24" t="s">
        <v>39</v>
      </c>
      <c r="F57" s="45" t="s">
        <v>374</v>
      </c>
      <c r="G57" s="24" t="str">
        <f>'Seguimiento (Viejo) '!L57</f>
        <v>Bajo</v>
      </c>
      <c r="H57" s="40" t="s">
        <v>375</v>
      </c>
      <c r="I57" s="40" t="s">
        <v>376</v>
      </c>
      <c r="J57" s="43">
        <v>44958</v>
      </c>
      <c r="K57" s="39"/>
      <c r="L57" s="39" t="s">
        <v>94</v>
      </c>
      <c r="M57" s="39"/>
      <c r="N57" s="24">
        <f>+NETWORKDAYS(J57,K57,Hoja3!A47:A70)-1</f>
        <v>-32114</v>
      </c>
    </row>
    <row r="58" spans="2:14">
      <c r="B58" s="10" t="str">
        <f>'Seguimiento (Viejo) '!B59</f>
        <v>R31</v>
      </c>
      <c r="C58" s="24" t="str">
        <f>'Seguimiento (Viejo) '!C59</f>
        <v xml:space="preserve">Reclamación </v>
      </c>
      <c r="D58" s="33">
        <f>'Seguimiento (Viejo) '!D59</f>
        <v>44967</v>
      </c>
      <c r="E58" s="24"/>
      <c r="F58" s="41"/>
      <c r="G58" s="24" t="str">
        <f>'Seguimiento (Viejo) '!L58</f>
        <v>Bajo</v>
      </c>
      <c r="H58" s="39"/>
      <c r="I58" s="39"/>
      <c r="J58" s="39"/>
      <c r="K58" s="39"/>
      <c r="L58" s="39"/>
      <c r="M58" s="39"/>
      <c r="N58" s="24"/>
    </row>
    <row r="59" spans="2:14">
      <c r="B59" s="10" t="str">
        <f>'Seguimiento (Viejo) '!B60</f>
        <v>R32</v>
      </c>
      <c r="C59" s="24" t="str">
        <f>'Seguimiento (Viejo) '!C60</f>
        <v xml:space="preserve">Reclamación </v>
      </c>
      <c r="D59" s="33">
        <f>'Seguimiento (Viejo) '!D60</f>
        <v>44970</v>
      </c>
      <c r="E59" s="24"/>
      <c r="F59" s="41"/>
      <c r="G59" s="24" t="str">
        <f>'Seguimiento (Viejo) '!L59</f>
        <v>Medio</v>
      </c>
      <c r="H59" s="39"/>
      <c r="I59" s="39"/>
      <c r="J59" s="39"/>
      <c r="K59" s="39"/>
      <c r="L59" s="39"/>
      <c r="M59" s="39"/>
      <c r="N59" s="24"/>
    </row>
    <row r="60" spans="2:14">
      <c r="B60" s="10" t="str">
        <f>'Seguimiento (Viejo) '!B61</f>
        <v>R33</v>
      </c>
      <c r="C60" s="24" t="str">
        <f>'Seguimiento (Viejo) '!C61</f>
        <v xml:space="preserve">Reclamación </v>
      </c>
      <c r="D60" s="33">
        <f>'Seguimiento (Viejo) '!D61</f>
        <v>44970</v>
      </c>
      <c r="E60" s="24"/>
      <c r="F60" s="41"/>
      <c r="G60" s="24" t="str">
        <f>'Seguimiento (Viejo) '!L60</f>
        <v>Bajo</v>
      </c>
      <c r="H60" s="39"/>
      <c r="I60" s="39"/>
      <c r="J60" s="39"/>
      <c r="K60" s="39"/>
      <c r="L60" s="39"/>
      <c r="M60" s="39"/>
      <c r="N60" s="24"/>
    </row>
    <row r="61" spans="2:14">
      <c r="B61" s="10" t="str">
        <f>'Seguimiento (Viejo) '!B62</f>
        <v>R34</v>
      </c>
      <c r="C61" s="24" t="str">
        <f>'Seguimiento (Viejo) '!C62</f>
        <v xml:space="preserve">Reclamación </v>
      </c>
      <c r="D61" s="33">
        <f>'Seguimiento (Viejo) '!D62</f>
        <v>44972</v>
      </c>
      <c r="E61" s="24"/>
      <c r="F61" s="41"/>
      <c r="G61" s="24" t="str">
        <f>'Seguimiento (Viejo) '!L61</f>
        <v>Bajo</v>
      </c>
      <c r="H61" s="39"/>
      <c r="I61" s="39"/>
      <c r="J61" s="39"/>
      <c r="K61" s="39"/>
      <c r="L61" s="39"/>
      <c r="M61" s="39"/>
      <c r="N61" s="24"/>
    </row>
    <row r="62" spans="2:14">
      <c r="B62" s="10" t="str">
        <f>'Seguimiento (Viejo) '!B63</f>
        <v>R35</v>
      </c>
      <c r="C62" s="24" t="str">
        <f>'Seguimiento (Viejo) '!C63</f>
        <v xml:space="preserve">Reclamación </v>
      </c>
      <c r="D62" s="33">
        <f>'Seguimiento (Viejo) '!D63</f>
        <v>44979</v>
      </c>
      <c r="E62" s="24"/>
      <c r="F62" s="41"/>
      <c r="G62" s="24" t="str">
        <f>'Seguimiento (Viejo) '!L62</f>
        <v>Bajo</v>
      </c>
      <c r="H62" s="39"/>
      <c r="I62" s="39"/>
      <c r="J62" s="39"/>
      <c r="K62" s="39"/>
      <c r="L62" s="39"/>
      <c r="M62" s="39"/>
      <c r="N62" s="24"/>
    </row>
    <row r="63" spans="2:14">
      <c r="B63" s="10" t="str">
        <f>'Seguimiento (Viejo) '!B64</f>
        <v>R36</v>
      </c>
      <c r="C63" s="24" t="str">
        <f>'Seguimiento (Viejo) '!C64</f>
        <v xml:space="preserve">Reclamación </v>
      </c>
      <c r="D63" s="33">
        <f>'Seguimiento (Viejo) '!D64</f>
        <v>44988</v>
      </c>
      <c r="E63" s="24"/>
      <c r="F63" s="41"/>
      <c r="G63" s="24" t="str">
        <f>'Seguimiento (Viejo) '!L63</f>
        <v>Bajo</v>
      </c>
      <c r="H63" s="39"/>
      <c r="I63" s="39"/>
      <c r="J63" s="39"/>
      <c r="K63" s="39"/>
      <c r="L63" s="39"/>
      <c r="M63" s="39"/>
      <c r="N63" s="24"/>
    </row>
    <row r="64" spans="2:14">
      <c r="B64" s="10" t="str">
        <f>'Seguimiento (Viejo) '!B65</f>
        <v>Q16</v>
      </c>
      <c r="C64" s="24" t="str">
        <f>'Seguimiento (Viejo) '!C65</f>
        <v>Queja</v>
      </c>
      <c r="D64" s="33">
        <f>'Seguimiento (Viejo) '!D65</f>
        <v>44993</v>
      </c>
      <c r="E64" s="24"/>
      <c r="F64" s="41"/>
      <c r="G64" s="24" t="str">
        <f>'Seguimiento (Viejo) '!L64</f>
        <v>Bajo</v>
      </c>
      <c r="H64" s="39"/>
      <c r="I64" s="39"/>
      <c r="J64" s="39"/>
      <c r="K64" s="39"/>
      <c r="L64" s="39"/>
      <c r="M64" s="39"/>
      <c r="N64" s="24"/>
    </row>
    <row r="65" spans="2:14">
      <c r="B65" s="10" t="str">
        <f>'Seguimiento (Viejo) '!B66</f>
        <v>R37</v>
      </c>
      <c r="C65" s="24" t="str">
        <f>'Seguimiento (Viejo) '!C66</f>
        <v xml:space="preserve">Reclamación </v>
      </c>
      <c r="D65" s="33">
        <f>'Seguimiento (Viejo) '!D66</f>
        <v>44993</v>
      </c>
      <c r="E65" s="24"/>
      <c r="F65" s="41"/>
      <c r="G65" s="24" t="str">
        <f>'Seguimiento (Viejo) '!L65</f>
        <v>Bajo</v>
      </c>
      <c r="H65" s="39"/>
      <c r="I65" s="39"/>
      <c r="J65" s="39"/>
      <c r="K65" s="39"/>
      <c r="L65" s="39"/>
      <c r="M65" s="39"/>
      <c r="N65" s="24"/>
    </row>
    <row r="66" spans="2:14">
      <c r="B66" s="10" t="str">
        <f>'Seguimiento (Viejo) '!B67</f>
        <v>R38</v>
      </c>
      <c r="C66" s="24" t="str">
        <f>'Seguimiento (Viejo) '!C67</f>
        <v xml:space="preserve">Reclamación </v>
      </c>
      <c r="D66" s="33">
        <f>'Seguimiento (Viejo) '!D67</f>
        <v>44993</v>
      </c>
      <c r="E66" s="24"/>
      <c r="F66" s="41"/>
      <c r="G66" s="24" t="str">
        <f>'Seguimiento (Viejo) '!L66</f>
        <v>Bajo</v>
      </c>
      <c r="H66" s="39"/>
      <c r="I66" s="39"/>
      <c r="J66" s="39"/>
      <c r="K66" s="39"/>
      <c r="L66" s="39"/>
      <c r="M66" s="39"/>
      <c r="N66" s="24"/>
    </row>
    <row r="67" spans="2:14">
      <c r="B67" s="10" t="str">
        <f>'Seguimiento (Viejo) '!B68</f>
        <v>R39</v>
      </c>
      <c r="C67" s="24" t="str">
        <f>'Seguimiento (Viejo) '!C68</f>
        <v xml:space="preserve">Reclamación </v>
      </c>
      <c r="D67" s="33">
        <f>'Seguimiento (Viejo) '!D68</f>
        <v>44994</v>
      </c>
      <c r="E67" s="24"/>
      <c r="F67" s="41"/>
      <c r="G67" s="24" t="str">
        <f>'Seguimiento (Viejo) '!L67</f>
        <v>Bajo</v>
      </c>
      <c r="H67" s="39"/>
      <c r="I67" s="39"/>
      <c r="J67" s="39"/>
      <c r="K67" s="39"/>
      <c r="L67" s="39"/>
      <c r="M67" s="39"/>
      <c r="N67" s="24"/>
    </row>
    <row r="68" spans="2:14">
      <c r="B68" s="10" t="str">
        <f>'Seguimiento (Viejo) '!B69</f>
        <v>R40</v>
      </c>
      <c r="C68" s="24" t="str">
        <f>'Seguimiento (Viejo) '!C69</f>
        <v xml:space="preserve">Reclamación </v>
      </c>
      <c r="D68" s="33">
        <f>'Seguimiento (Viejo) '!D69</f>
        <v>44995</v>
      </c>
      <c r="E68" s="24"/>
      <c r="F68" s="41"/>
      <c r="G68" s="24" t="str">
        <f>'Seguimiento (Viejo) '!L68</f>
        <v>Bajo</v>
      </c>
      <c r="H68" s="39"/>
      <c r="I68" s="39"/>
      <c r="J68" s="39"/>
      <c r="K68" s="39"/>
      <c r="L68" s="39"/>
      <c r="M68" s="39"/>
      <c r="N68" s="24"/>
    </row>
    <row r="69" spans="2:14">
      <c r="B69" s="10" t="str">
        <f>'Seguimiento (Viejo) '!B70</f>
        <v>R41</v>
      </c>
      <c r="C69" s="24" t="str">
        <f>'Seguimiento (Viejo) '!C70</f>
        <v xml:space="preserve">Reclamación </v>
      </c>
      <c r="D69" s="33">
        <f>'Seguimiento (Viejo) '!D70</f>
        <v>44999</v>
      </c>
      <c r="E69" s="24"/>
      <c r="F69" s="41"/>
      <c r="G69" s="24" t="str">
        <f>'Seguimiento (Viejo) '!L69</f>
        <v>Bajo</v>
      </c>
      <c r="H69" s="39"/>
      <c r="I69" s="39"/>
      <c r="J69" s="39"/>
      <c r="K69" s="39"/>
      <c r="L69" s="39"/>
      <c r="M69" s="39"/>
      <c r="N69" s="24"/>
    </row>
    <row r="70" spans="2:14">
      <c r="B70" s="10" t="str">
        <f>'Seguimiento (Viejo) '!B71</f>
        <v>S02</v>
      </c>
      <c r="C70" s="24" t="str">
        <f>'Seguimiento (Viejo) '!C71</f>
        <v xml:space="preserve">Sugerencia </v>
      </c>
      <c r="D70" s="33">
        <f>'Seguimiento (Viejo) '!D71</f>
        <v>44999</v>
      </c>
      <c r="E70" s="24"/>
      <c r="F70" s="41"/>
      <c r="G70" s="24" t="str">
        <f>'Seguimiento (Viejo) '!L70</f>
        <v>Bajo</v>
      </c>
      <c r="H70" s="39"/>
      <c r="I70" s="39"/>
      <c r="J70" s="39"/>
      <c r="K70" s="39"/>
      <c r="L70" s="39"/>
      <c r="M70" s="39"/>
      <c r="N70" s="24"/>
    </row>
    <row r="71" spans="2:14">
      <c r="B71" s="10" t="str">
        <f>'Seguimiento (Viejo) '!B72</f>
        <v>R42</v>
      </c>
      <c r="C71" s="24" t="str">
        <f>'Seguimiento (Viejo) '!C72</f>
        <v xml:space="preserve">Reclamación </v>
      </c>
      <c r="D71" s="33">
        <f>'Seguimiento (Viejo) '!D72</f>
        <v>45005</v>
      </c>
      <c r="E71" s="24"/>
      <c r="F71" s="41"/>
      <c r="G71" s="24" t="str">
        <f>'Seguimiento (Viejo) '!L71</f>
        <v>Bajo</v>
      </c>
      <c r="H71" s="39"/>
      <c r="I71" s="39"/>
      <c r="J71" s="39"/>
      <c r="K71" s="39"/>
      <c r="L71" s="39"/>
      <c r="M71" s="39"/>
      <c r="N71" s="24"/>
    </row>
    <row r="72" spans="2:14">
      <c r="B72" s="10" t="str">
        <f>'Seguimiento (Viejo) '!B75</f>
        <v>S03</v>
      </c>
      <c r="C72" s="24" t="str">
        <f>'Seguimiento (Viejo) '!C75</f>
        <v xml:space="preserve">Sugerencia </v>
      </c>
      <c r="D72" s="33">
        <f>'Seguimiento (Viejo) '!D75</f>
        <v>45014</v>
      </c>
      <c r="E72" s="24"/>
      <c r="F72" s="41"/>
      <c r="G72" s="24" t="str">
        <f>'Seguimiento (Viejo) '!L72</f>
        <v>Bajo</v>
      </c>
      <c r="H72" s="39"/>
      <c r="I72" s="39"/>
      <c r="J72" s="39"/>
      <c r="K72" s="39"/>
      <c r="L72" s="39"/>
      <c r="M72" s="39"/>
      <c r="N72" s="24"/>
    </row>
    <row r="73" spans="2:14">
      <c r="B73" s="10" t="str">
        <f>'Seguimiento (Viejo) '!B81</f>
        <v>R48</v>
      </c>
      <c r="C73" s="24" t="str">
        <f>'Seguimiento (Viejo) '!C81</f>
        <v xml:space="preserve">Reclamación </v>
      </c>
      <c r="D73" s="33">
        <f>'Seguimiento (Viejo) '!D81</f>
        <v>45062</v>
      </c>
      <c r="E73" s="24"/>
      <c r="F73" s="41"/>
      <c r="G73" s="24" t="str">
        <f>'Seguimiento (Viejo) '!L75</f>
        <v>Bajo</v>
      </c>
      <c r="H73" s="39"/>
      <c r="I73" s="39"/>
      <c r="J73" s="39"/>
      <c r="K73" s="39"/>
      <c r="L73" s="39"/>
      <c r="M73" s="39"/>
      <c r="N73" s="24"/>
    </row>
    <row r="74" spans="2:14">
      <c r="B74" s="10" t="str">
        <f>'Seguimiento (Viejo) '!B82</f>
        <v>R49</v>
      </c>
      <c r="C74" s="24" t="str">
        <f>'Seguimiento (Viejo) '!C82</f>
        <v xml:space="preserve">Reclamación </v>
      </c>
      <c r="D74" s="33">
        <f>'Seguimiento (Viejo) '!D82</f>
        <v>45062</v>
      </c>
      <c r="E74" s="24"/>
      <c r="F74" s="41"/>
      <c r="G74" s="24" t="str">
        <f>'Seguimiento (Viejo) '!L81</f>
        <v>Bajo</v>
      </c>
      <c r="H74" s="39"/>
      <c r="I74" s="39"/>
      <c r="J74" s="39"/>
      <c r="K74" s="39"/>
      <c r="L74" s="39"/>
      <c r="M74" s="39"/>
      <c r="N74" s="24"/>
    </row>
    <row r="75" spans="2:14">
      <c r="B75" s="10">
        <f>'Seguimiento (Viejo) '!B83</f>
        <v>0</v>
      </c>
      <c r="C75" s="24">
        <f>'Seguimiento (Viejo) '!C83</f>
        <v>0</v>
      </c>
      <c r="D75" s="33">
        <f>'Seguimiento (Viejo) '!D83</f>
        <v>0</v>
      </c>
      <c r="E75" s="24"/>
      <c r="F75" s="41"/>
      <c r="G75" s="24" t="str">
        <f>'Seguimiento (Viejo) '!L82</f>
        <v>Bajo</v>
      </c>
      <c r="H75" s="39"/>
      <c r="I75" s="39"/>
      <c r="J75" s="39"/>
      <c r="K75" s="39"/>
      <c r="L75" s="39"/>
      <c r="M75" s="39"/>
      <c r="N75" s="24"/>
    </row>
    <row r="76" spans="2:14">
      <c r="B76" s="10">
        <f>'Seguimiento (Viejo) '!B84</f>
        <v>0</v>
      </c>
      <c r="C76" s="24">
        <f>'Seguimiento (Viejo) '!C84</f>
        <v>0</v>
      </c>
      <c r="D76" s="33">
        <f>'Seguimiento (Viejo) '!D84</f>
        <v>0</v>
      </c>
      <c r="E76" s="24"/>
      <c r="F76" s="41"/>
      <c r="G76" s="24">
        <f>'Seguimiento (Viejo) '!L83</f>
        <v>0</v>
      </c>
      <c r="H76" s="39"/>
      <c r="I76" s="39"/>
      <c r="J76" s="39"/>
      <c r="K76" s="39"/>
      <c r="L76" s="39"/>
      <c r="M76" s="39"/>
      <c r="N76" s="24"/>
    </row>
    <row r="77" spans="2:14">
      <c r="B77" s="10">
        <f>'Seguimiento (Viejo) '!B85</f>
        <v>0</v>
      </c>
      <c r="C77" s="24">
        <f>'Seguimiento (Viejo) '!C85</f>
        <v>0</v>
      </c>
      <c r="D77" s="33">
        <f>'Seguimiento (Viejo) '!D85</f>
        <v>0</v>
      </c>
      <c r="E77" s="24"/>
      <c r="F77" s="41"/>
      <c r="G77" s="24">
        <f>'Seguimiento (Viejo) '!L84</f>
        <v>0</v>
      </c>
      <c r="H77" s="39"/>
      <c r="I77" s="39"/>
      <c r="J77" s="39"/>
      <c r="K77" s="39"/>
      <c r="L77" s="39"/>
      <c r="M77" s="39"/>
      <c r="N77" s="24"/>
    </row>
    <row r="78" spans="2:14">
      <c r="B78" s="10">
        <f>'Seguimiento (Viejo) '!B86</f>
        <v>0</v>
      </c>
      <c r="C78" s="24">
        <f>'Seguimiento (Viejo) '!C86</f>
        <v>0</v>
      </c>
      <c r="D78" s="33">
        <f>'Seguimiento (Viejo) '!D86</f>
        <v>0</v>
      </c>
      <c r="E78" s="24"/>
      <c r="F78" s="41"/>
      <c r="G78" s="24">
        <f>'Seguimiento (Viejo) '!L85</f>
        <v>0</v>
      </c>
      <c r="H78" s="39"/>
      <c r="I78" s="39"/>
      <c r="J78" s="39"/>
      <c r="K78" s="39"/>
      <c r="L78" s="39"/>
      <c r="M78" s="39"/>
      <c r="N78" s="24"/>
    </row>
    <row r="79" spans="2:14">
      <c r="B79" s="10">
        <f>'Seguimiento (Viejo) '!B87</f>
        <v>0</v>
      </c>
      <c r="C79" s="24">
        <f>'Seguimiento (Viejo) '!C87</f>
        <v>0</v>
      </c>
      <c r="D79" s="33">
        <f>'Seguimiento (Viejo) '!D87</f>
        <v>0</v>
      </c>
      <c r="E79" s="24"/>
      <c r="F79" s="41"/>
      <c r="G79" s="24">
        <f>'Seguimiento (Viejo) '!L86</f>
        <v>0</v>
      </c>
      <c r="H79" s="39"/>
      <c r="I79" s="39"/>
      <c r="J79" s="39"/>
      <c r="K79" s="39"/>
      <c r="L79" s="39"/>
      <c r="M79" s="39"/>
      <c r="N79" s="24"/>
    </row>
    <row r="80" spans="2:14">
      <c r="B80" s="10">
        <f>'Seguimiento (Viejo) '!B88</f>
        <v>0</v>
      </c>
      <c r="C80" s="24">
        <f>'Seguimiento (Viejo) '!C88</f>
        <v>0</v>
      </c>
      <c r="D80" s="33">
        <f>'Seguimiento (Viejo) '!D88</f>
        <v>0</v>
      </c>
      <c r="E80" s="24"/>
      <c r="F80" s="41"/>
      <c r="G80" s="24">
        <f>'Seguimiento (Viejo) '!L87</f>
        <v>0</v>
      </c>
      <c r="H80" s="39"/>
      <c r="I80" s="39"/>
      <c r="J80" s="39"/>
      <c r="K80" s="39"/>
      <c r="L80" s="39"/>
      <c r="M80" s="39"/>
      <c r="N80" s="24"/>
    </row>
    <row r="81" spans="2:14">
      <c r="B81" s="10">
        <f>'Seguimiento (Viejo) '!B89</f>
        <v>0</v>
      </c>
      <c r="C81" s="24">
        <f>'Seguimiento (Viejo) '!C89</f>
        <v>0</v>
      </c>
      <c r="D81" s="33">
        <f>'Seguimiento (Viejo) '!D89</f>
        <v>0</v>
      </c>
      <c r="E81" s="24"/>
      <c r="F81" s="41"/>
      <c r="G81" s="24">
        <f>'Seguimiento (Viejo) '!L88</f>
        <v>0</v>
      </c>
      <c r="H81" s="39"/>
      <c r="I81" s="39"/>
      <c r="J81" s="39"/>
      <c r="K81" s="39"/>
      <c r="L81" s="39"/>
      <c r="M81" s="39"/>
      <c r="N81" s="24"/>
    </row>
    <row r="82" spans="2:14">
      <c r="B82" s="10">
        <f>'Seguimiento (Viejo) '!B90</f>
        <v>0</v>
      </c>
      <c r="C82" s="24">
        <f>'Seguimiento (Viejo) '!C90</f>
        <v>0</v>
      </c>
      <c r="D82" s="33">
        <f>'Seguimiento (Viejo) '!D90</f>
        <v>0</v>
      </c>
      <c r="E82" s="24"/>
      <c r="F82" s="41"/>
      <c r="G82" s="24">
        <f>'Seguimiento (Viejo) '!L89</f>
        <v>0</v>
      </c>
      <c r="H82" s="39"/>
      <c r="I82" s="39"/>
      <c r="J82" s="39"/>
      <c r="K82" s="39"/>
      <c r="L82" s="39"/>
      <c r="M82" s="39"/>
      <c r="N82" s="24"/>
    </row>
    <row r="83" spans="2:14">
      <c r="B83" s="10">
        <f>'Seguimiento (Viejo) '!B91</f>
        <v>0</v>
      </c>
      <c r="C83" s="24">
        <f>'Seguimiento (Viejo) '!C91</f>
        <v>0</v>
      </c>
      <c r="D83" s="33">
        <f>'Seguimiento (Viejo) '!D91</f>
        <v>0</v>
      </c>
      <c r="E83" s="24"/>
      <c r="F83" s="41"/>
      <c r="G83" s="24">
        <f>'Seguimiento (Viejo) '!L90</f>
        <v>0</v>
      </c>
      <c r="H83" s="39"/>
      <c r="I83" s="39"/>
      <c r="J83" s="39"/>
      <c r="K83" s="39"/>
      <c r="L83" s="39"/>
      <c r="M83" s="39"/>
      <c r="N83" s="24"/>
    </row>
    <row r="84" spans="2:14">
      <c r="B84" s="10">
        <f>'Seguimiento (Viejo) '!B92</f>
        <v>0</v>
      </c>
      <c r="C84" s="24">
        <f>'Seguimiento (Viejo) '!C92</f>
        <v>0</v>
      </c>
      <c r="D84" s="33">
        <f>'Seguimiento (Viejo) '!D92</f>
        <v>0</v>
      </c>
      <c r="E84" s="24"/>
      <c r="F84" s="41"/>
      <c r="G84" s="24">
        <f>'Seguimiento (Viejo) '!L91</f>
        <v>0</v>
      </c>
      <c r="H84" s="39"/>
      <c r="I84" s="39"/>
      <c r="J84" s="39"/>
      <c r="K84" s="39"/>
      <c r="L84" s="39"/>
      <c r="M84" s="39"/>
      <c r="N84" s="24"/>
    </row>
    <row r="85" spans="2:14">
      <c r="B85" s="10">
        <f>'Seguimiento (Viejo) '!B93</f>
        <v>0</v>
      </c>
      <c r="C85" s="24">
        <f>'Seguimiento (Viejo) '!C93</f>
        <v>0</v>
      </c>
      <c r="D85" s="33">
        <f>'Seguimiento (Viejo) '!D93</f>
        <v>0</v>
      </c>
      <c r="E85" s="24"/>
      <c r="F85" s="41"/>
      <c r="G85" s="24">
        <f>'Seguimiento (Viejo) '!L92</f>
        <v>0</v>
      </c>
      <c r="H85" s="39"/>
      <c r="I85" s="39"/>
      <c r="J85" s="39"/>
      <c r="K85" s="39"/>
      <c r="L85" s="39"/>
      <c r="M85" s="39"/>
      <c r="N85" s="24"/>
    </row>
    <row r="86" spans="2:14">
      <c r="B86" s="10">
        <f>'Seguimiento (Viejo) '!B94</f>
        <v>0</v>
      </c>
      <c r="C86" s="24">
        <f>'Seguimiento (Viejo) '!C94</f>
        <v>0</v>
      </c>
      <c r="D86" s="33">
        <f>'Seguimiento (Viejo) '!D94</f>
        <v>0</v>
      </c>
      <c r="E86" s="24"/>
      <c r="F86" s="41"/>
      <c r="G86" s="24">
        <f>'Seguimiento (Viejo) '!L93</f>
        <v>0</v>
      </c>
      <c r="H86" s="39"/>
      <c r="I86" s="39"/>
      <c r="J86" s="39"/>
      <c r="K86" s="39"/>
      <c r="L86" s="39"/>
      <c r="M86" s="39"/>
      <c r="N86" s="24"/>
    </row>
    <row r="87" spans="2:14">
      <c r="B87" s="10">
        <f>'Seguimiento (Viejo) '!B95</f>
        <v>0</v>
      </c>
      <c r="C87" s="24">
        <f>'Seguimiento (Viejo) '!C95</f>
        <v>0</v>
      </c>
      <c r="D87" s="33">
        <f>'Seguimiento (Viejo) '!D95</f>
        <v>0</v>
      </c>
      <c r="E87" s="24"/>
      <c r="F87" s="41"/>
      <c r="G87" s="24">
        <f>'Seguimiento (Viejo) '!L94</f>
        <v>0</v>
      </c>
      <c r="H87" s="39"/>
      <c r="I87" s="39"/>
      <c r="J87" s="39"/>
      <c r="K87" s="39"/>
      <c r="L87" s="39"/>
      <c r="M87" s="39"/>
      <c r="N87" s="24"/>
    </row>
    <row r="88" spans="2:14">
      <c r="B88" s="10">
        <f>'Seguimiento (Viejo) '!B96</f>
        <v>0</v>
      </c>
      <c r="C88" s="24">
        <f>'Seguimiento (Viejo) '!C96</f>
        <v>0</v>
      </c>
      <c r="D88" s="33">
        <f>'Seguimiento (Viejo) '!D96</f>
        <v>0</v>
      </c>
      <c r="E88" s="24"/>
      <c r="F88" s="41"/>
      <c r="G88" s="24">
        <f>'Seguimiento (Viejo) '!L95</f>
        <v>0</v>
      </c>
      <c r="H88" s="39"/>
      <c r="I88" s="39"/>
      <c r="J88" s="39"/>
      <c r="K88" s="39"/>
      <c r="L88" s="39"/>
      <c r="M88" s="39"/>
      <c r="N88" s="24"/>
    </row>
    <row r="89" spans="2:14">
      <c r="B89" s="10">
        <f>'Seguimiento (Viejo) '!B97</f>
        <v>0</v>
      </c>
      <c r="C89" s="24">
        <f>'Seguimiento (Viejo) '!C97</f>
        <v>0</v>
      </c>
      <c r="D89" s="33">
        <f>'Seguimiento (Viejo) '!D97</f>
        <v>0</v>
      </c>
      <c r="E89" s="24"/>
      <c r="F89" s="41"/>
      <c r="G89" s="24">
        <f>'Seguimiento (Viejo) '!L96</f>
        <v>0</v>
      </c>
      <c r="H89" s="39"/>
      <c r="I89" s="39"/>
      <c r="J89" s="39"/>
      <c r="K89" s="39"/>
      <c r="L89" s="39"/>
      <c r="M89" s="39"/>
      <c r="N89" s="24"/>
    </row>
  </sheetData>
  <autoFilter ref="B9:N39" xr:uid="{00000000-0001-0000-0100-000000000000}">
    <filterColumn colId="6" showButton="0"/>
    <filterColumn colId="7" showButton="0"/>
    <filterColumn colId="8" showButton="0"/>
    <filterColumn colId="9" showButton="0"/>
  </autoFilter>
  <mergeCells count="10">
    <mergeCell ref="B1:R6"/>
    <mergeCell ref="D9:D10"/>
    <mergeCell ref="C9:C10"/>
    <mergeCell ref="B9:B10"/>
    <mergeCell ref="M9:M10"/>
    <mergeCell ref="H9:L9"/>
    <mergeCell ref="G9:G10"/>
    <mergeCell ref="F9:F10"/>
    <mergeCell ref="E9:E10"/>
    <mergeCell ref="N9:N10"/>
  </mergeCells>
  <phoneticPr fontId="9" type="noConversion"/>
  <conditionalFormatting sqref="G11:G89">
    <cfRule type="cellIs" dxfId="37" priority="1" operator="equal">
      <formula>"Bajo"</formula>
    </cfRule>
    <cfRule type="cellIs" dxfId="36" priority="2" operator="equal">
      <formula>"Medio "</formula>
    </cfRule>
    <cfRule type="cellIs" dxfId="35" priority="3" operator="equal">
      <formula>"Alto "</formula>
    </cfRule>
  </conditionalFormatting>
  <hyperlinks>
    <hyperlink ref="M19" r:id="rId1" xr:uid="{00000000-0004-0000-0100-000000000000}"/>
    <hyperlink ref="M20" r:id="rId2" xr:uid="{00000000-0004-0000-0100-000001000000}"/>
    <hyperlink ref="M13" r:id="rId3" xr:uid="{00000000-0004-0000-0100-000002000000}"/>
    <hyperlink ref="M11" r:id="rId4" display="3. Quejas, Sugerencia y Reclamaciones\Linea 311\RESPUESTA 311-1.pdf" xr:uid="{00000000-0004-0000-0100-000003000000}"/>
    <hyperlink ref="M16" r:id="rId5" display="3. Quejas, Sugerencia y Reclamaciones\Linea 311\RESPUESTA 311-3.pdf" xr:uid="{00000000-0004-0000-0100-000004000000}"/>
    <hyperlink ref="M23" r:id="rId6" display="3. Quejas, Sugerencia y Reclamaciones\Buzón\Buzón WEB\R03.pdf" xr:uid="{00000000-0004-0000-0100-000005000000}"/>
    <hyperlink ref="M18" r:id="rId7" display="2. Acciones Correctivas\8. Agosto\Acción Correctiva Q06.pdf" xr:uid="{00000000-0004-0000-0100-000006000000}"/>
    <hyperlink ref="M26" r:id="rId8" xr:uid="{00000000-0004-0000-0100-000007000000}"/>
    <hyperlink ref="M17" r:id="rId9" display="3. Quejas, Sugerencia y Reclamaciones\Linea 311\RESPUESTA 311-3.pdf" xr:uid="{00000000-0004-0000-0100-000008000000}"/>
    <hyperlink ref="M25" r:id="rId10" xr:uid="{00000000-0004-0000-0100-000009000000}"/>
    <hyperlink ref="M22" r:id="rId11" display="2. Acciones Correctivas\9. Septiembre\Q07.msg" xr:uid="{00000000-0004-0000-0100-00000A000000}"/>
    <hyperlink ref="M29" r:id="rId12" display="2. Acciones Correctivas\9. Septiembre\Acción Correctiva Q09.pdf" xr:uid="{80B02474-6C7C-4536-8DAD-CFC350B90385}"/>
    <hyperlink ref="M31" r:id="rId13" display="2. Acciones Correctivas\9. Septiembre\Respuesta R08.msg" xr:uid="{FDD7490F-BDDC-4F2A-B613-71855ECF7B83}"/>
    <hyperlink ref="M32" r:id="rId14" display="2. Acciones Correctivas\9. Septiembre\Mensaje R09.msg" xr:uid="{56925D67-6A84-432A-965A-6DE42ECDBE2D}"/>
    <hyperlink ref="M35" r:id="rId15" display="2. Acciones Correctivas\10. Octubre\Respuesta a Reclamación código 11.msg" xr:uid="{C9D65BAC-8779-495C-9964-5A6CC57F6024}"/>
    <hyperlink ref="M34" r:id="rId16" display="2. Acciones Correctivas\10. Octubre\Q11\Respuesta  Q11.msg" xr:uid="{36795F63-924E-4B18-886D-3B39ACA9C393}"/>
    <hyperlink ref="M40" r:id="rId17" display="2. Acciones Correctivas\10. Octubre\R16" xr:uid="{579BD758-CCD2-4920-9AF4-D7F6F78D9B39}"/>
    <hyperlink ref="M39" r:id="rId18" display="2. Acciones Correctivas\10. Octubre\R15" xr:uid="{A773B756-F75A-4936-82AE-997A25F94506}"/>
    <hyperlink ref="M42" r:id="rId19" display="2. Acciones Correctivas\11. Noviembre\R18\Respuesta R18.msg" xr:uid="{EE503EB8-7A92-42BA-8C4F-9F87722C42C8}"/>
    <hyperlink ref="M38" r:id="rId20" display="2. Acciones Correctivas\10. Octubre\R14\Respuesta R14.msg" xr:uid="{299D1F91-38F0-4223-81CC-371673E989DA}"/>
    <hyperlink ref="M44" r:id="rId21" display="2. Acciones Correctivas\11. Noviembre\R19\Respuesta R19.msg" xr:uid="{7D4911B0-802B-4D50-BD23-15B1101082CB}"/>
    <hyperlink ref="M46" r:id="rId22" display="2. Acciones Correctivas\11. Noviembre\R21\Respuesta R21.msg" xr:uid="{27E157C5-A68C-49A0-B72E-C3496E5CC651}"/>
    <hyperlink ref="M47" r:id="rId23" display="2. Acciones Correctivas\11. Noviembre\R22\Respuesta R22.msg" xr:uid="{5BD73BE9-CB66-4B12-A537-49FF220FCC5E}"/>
    <hyperlink ref="M49" r:id="rId24" display="2. Acciones Correctivas\11. Noviembre\R24\Respuesta R24.msg" xr:uid="{AC7422CE-B087-4483-8DFD-8080D55B4834}"/>
    <hyperlink ref="M50" r:id="rId25" display="2. Acciones Correctivas\11. Noviembre\R25\Respuesta R25.msg" xr:uid="{35BB25A6-AFCA-4F30-9736-7FEF450F85E9}"/>
    <hyperlink ref="M51" r:id="rId26" display="QRS\R26\Notificación Contraloría  Respuesta a reclamación código 26.msg" xr:uid="{16E3758C-8B4F-4257-9764-AC1680166EF8}"/>
    <hyperlink ref="M53" r:id="rId27" display="QRS\Q14\Q14 acción correctiva.pdf" xr:uid="{14A6A679-C50D-4EB5-BEFF-94B646C16FCA}"/>
    <hyperlink ref="M52" r:id="rId28" display="QRS\R27\Respuesta R27.msg" xr:uid="{11AE5020-C173-41C9-9DAB-FC9FEDDD1CCE}"/>
    <hyperlink ref="M54" r:id="rId29" display="QRS\Q15\Q15 acción correctivas.pdf" xr:uid="{48900A1B-5AA1-4255-8251-7FD26F3846CF}"/>
    <hyperlink ref="M43" r:id="rId30" display="QRS\Q12\Q12 Acción Correctiva.pdf" xr:uid="{ACB9CDC1-6EC4-413B-AC11-2BDB9A26D0C3}"/>
  </hyperlinks>
  <pageMargins left="0.7" right="0.7" top="0.75" bottom="0.75" header="0.3" footer="0.3"/>
  <pageSetup orientation="portrait" r:id="rId31"/>
  <drawing r:id="rId3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'C:\Users\oalejandro\Desktop\[Formato Matriz R Q y S (Backup).xlsx]Hoja3'!#REF!</xm:f>
          </x14:formula1>
          <xm:sqref>M19:M20 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B7F1-B70D-4B9A-8939-192B5D334629}">
  <dimension ref="A1:A4"/>
  <sheetViews>
    <sheetView workbookViewId="0">
      <selection activeCell="D10" sqref="D10"/>
    </sheetView>
  </sheetViews>
  <sheetFormatPr baseColWidth="10" defaultRowHeight="14.4"/>
  <sheetData>
    <row r="1" spans="1:1">
      <c r="A1" t="s">
        <v>712</v>
      </c>
    </row>
    <row r="2" spans="1:1">
      <c r="A2" s="29">
        <v>45236</v>
      </c>
    </row>
    <row r="3" spans="1:1">
      <c r="A3" s="29">
        <v>45285</v>
      </c>
    </row>
    <row r="4" spans="1:1">
      <c r="A4" s="29">
        <v>45291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27D8-E633-4BC9-89C0-F3DD5DD16C6A}">
  <sheetPr codeName="Hoja3"/>
  <dimension ref="A1:T112"/>
  <sheetViews>
    <sheetView view="pageBreakPreview" zoomScale="55" zoomScaleNormal="55" zoomScaleSheetLayoutView="55" workbookViewId="0">
      <pane ySplit="9" topLeftCell="A79" activePane="bottomLeft" state="frozen"/>
      <selection pane="bottomLeft" activeCell="P103" sqref="P103"/>
    </sheetView>
  </sheetViews>
  <sheetFormatPr baseColWidth="10" defaultRowHeight="14.4" outlineLevelCol="1"/>
  <cols>
    <col min="1" max="1" width="8.5546875" customWidth="1"/>
    <col min="2" max="2" width="15.5546875" bestFit="1" customWidth="1"/>
    <col min="3" max="3" width="27.109375" style="32" customWidth="1"/>
    <col min="4" max="4" width="16.44140625" style="32" customWidth="1"/>
    <col min="5" max="6" width="16.44140625" style="32" hidden="1" customWidth="1" outlineLevel="1"/>
    <col min="7" max="7" width="37.109375" bestFit="1" customWidth="1" collapsed="1"/>
    <col min="8" max="8" width="18.6640625" style="60" customWidth="1"/>
    <col min="9" max="9" width="16.6640625" customWidth="1"/>
    <col min="10" max="10" width="36.5546875" customWidth="1"/>
    <col min="11" max="12" width="19.33203125" customWidth="1"/>
    <col min="13" max="13" width="19.5546875" customWidth="1"/>
    <col min="14" max="14" width="18.6640625" customWidth="1"/>
    <col min="15" max="15" width="13.5546875" customWidth="1"/>
    <col min="16" max="16" width="39.33203125" customWidth="1"/>
    <col min="17" max="17" width="53.77734375" style="32" customWidth="1"/>
    <col min="18" max="18" width="20.33203125" customWidth="1"/>
    <col min="19" max="19" width="15.44140625" bestFit="1" customWidth="1"/>
  </cols>
  <sheetData>
    <row r="1" spans="1:20">
      <c r="D1"/>
      <c r="E1"/>
      <c r="F1"/>
    </row>
    <row r="2" spans="1:20">
      <c r="A2" s="202"/>
      <c r="B2" s="202"/>
      <c r="C2" s="202"/>
      <c r="D2" s="202"/>
      <c r="E2" s="202"/>
      <c r="F2" s="202"/>
      <c r="G2" s="202"/>
      <c r="H2" s="202"/>
      <c r="I2" s="202"/>
      <c r="J2" s="202"/>
      <c r="K2" s="202"/>
      <c r="L2" s="202"/>
      <c r="M2" s="202"/>
      <c r="N2" s="202"/>
      <c r="O2" s="202"/>
      <c r="P2" s="202"/>
      <c r="Q2" s="202"/>
    </row>
    <row r="3" spans="1:20">
      <c r="A3" s="202"/>
      <c r="B3" s="202"/>
      <c r="C3" s="202"/>
      <c r="D3" s="202"/>
      <c r="E3" s="202"/>
      <c r="F3" s="202"/>
      <c r="G3" s="202"/>
      <c r="H3" s="202"/>
      <c r="I3" s="202"/>
      <c r="J3" s="202"/>
      <c r="K3" s="202"/>
      <c r="L3" s="202"/>
      <c r="M3" s="202"/>
      <c r="N3" s="202"/>
      <c r="O3" s="202"/>
      <c r="P3" s="202"/>
      <c r="Q3" s="202"/>
    </row>
    <row r="4" spans="1:20">
      <c r="A4" s="202"/>
      <c r="B4" s="202"/>
      <c r="C4" s="202"/>
      <c r="D4" s="202"/>
      <c r="E4" s="202"/>
      <c r="F4" s="202"/>
      <c r="G4" s="202"/>
      <c r="H4" s="202"/>
      <c r="I4" s="202"/>
      <c r="J4" s="202"/>
      <c r="K4" s="202"/>
      <c r="L4" s="202"/>
      <c r="M4" s="202"/>
      <c r="N4" s="202"/>
      <c r="O4" s="202"/>
      <c r="P4" s="202"/>
      <c r="Q4" s="202"/>
    </row>
    <row r="5" spans="1:20">
      <c r="A5" s="202"/>
      <c r="B5" s="202"/>
      <c r="C5" s="202"/>
      <c r="D5" s="202"/>
      <c r="E5" s="202"/>
      <c r="F5" s="202"/>
      <c r="G5" s="202"/>
      <c r="H5" s="202"/>
      <c r="I5" s="202"/>
      <c r="J5" s="202"/>
      <c r="K5" s="202"/>
      <c r="L5" s="202"/>
      <c r="M5" s="202"/>
      <c r="N5" s="202"/>
      <c r="O5" s="202"/>
      <c r="P5" s="202"/>
      <c r="Q5" s="202"/>
    </row>
    <row r="6" spans="1:20">
      <c r="A6" s="202"/>
      <c r="B6" s="202"/>
      <c r="C6" s="202"/>
      <c r="D6" s="202"/>
      <c r="E6" s="202"/>
      <c r="F6" s="202"/>
      <c r="G6" s="202"/>
      <c r="H6" s="202"/>
      <c r="I6" s="202"/>
      <c r="J6" s="202"/>
      <c r="K6" s="202"/>
      <c r="L6" s="202"/>
      <c r="M6" s="202"/>
      <c r="N6" s="202"/>
      <c r="O6" s="202"/>
      <c r="P6" s="202"/>
      <c r="Q6" s="202"/>
    </row>
    <row r="7" spans="1:20">
      <c r="A7" s="202"/>
      <c r="B7" s="202"/>
      <c r="C7" s="202"/>
      <c r="D7" s="202"/>
      <c r="E7" s="202"/>
      <c r="F7" s="202"/>
      <c r="G7" s="202"/>
      <c r="H7" s="202"/>
      <c r="I7" s="202"/>
      <c r="J7" s="202"/>
      <c r="K7" s="202"/>
      <c r="L7" s="202"/>
      <c r="M7" s="202"/>
      <c r="N7" s="202"/>
      <c r="O7" s="202"/>
      <c r="P7" s="202"/>
      <c r="Q7" s="202"/>
    </row>
    <row r="8" spans="1:20">
      <c r="D8"/>
      <c r="E8"/>
      <c r="F8"/>
    </row>
    <row r="9" spans="1:20" s="87" customFormat="1" ht="32.4">
      <c r="A9" s="79" t="s">
        <v>0</v>
      </c>
      <c r="B9" s="4" t="s">
        <v>28</v>
      </c>
      <c r="C9" s="4" t="s">
        <v>8</v>
      </c>
      <c r="D9" s="80" t="s">
        <v>6</v>
      </c>
      <c r="E9" s="80" t="s">
        <v>576</v>
      </c>
      <c r="F9" s="80" t="s">
        <v>549</v>
      </c>
      <c r="G9" s="4" t="s">
        <v>1</v>
      </c>
      <c r="H9" s="4" t="s">
        <v>4</v>
      </c>
      <c r="I9" s="4" t="s">
        <v>3</v>
      </c>
      <c r="J9" s="77" t="s">
        <v>7</v>
      </c>
      <c r="K9" s="5" t="s">
        <v>12</v>
      </c>
      <c r="L9" s="4" t="s">
        <v>11</v>
      </c>
      <c r="M9" s="4" t="s">
        <v>14</v>
      </c>
      <c r="N9" s="88" t="s">
        <v>462</v>
      </c>
      <c r="O9" s="5" t="s">
        <v>9</v>
      </c>
      <c r="P9" s="81" t="s">
        <v>5</v>
      </c>
      <c r="Q9" s="76" t="s">
        <v>31</v>
      </c>
      <c r="R9" s="76" t="s">
        <v>118</v>
      </c>
      <c r="S9" s="78" t="s">
        <v>170</v>
      </c>
      <c r="T9" s="78" t="s">
        <v>381</v>
      </c>
    </row>
    <row r="10" spans="1:20" s="37" customFormat="1">
      <c r="A10" s="84">
        <f>ROW(G10)-ROW($G$9)</f>
        <v>1</v>
      </c>
      <c r="B10" s="13" t="s">
        <v>56</v>
      </c>
      <c r="C10" s="82" t="s">
        <v>24</v>
      </c>
      <c r="D10" s="16">
        <v>44579</v>
      </c>
      <c r="E10" s="113" t="str" cm="1">
        <f t="array" ref="E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0" s="113">
        <f>IF(Tabla1[[#This Row],[Fecha de 
Registro ]]="","",YEAR(Tabla1[[#This Row],[Fecha de 
Registro ]]))</f>
        <v>2022</v>
      </c>
      <c r="G10" s="13" t="s">
        <v>62</v>
      </c>
      <c r="H10" s="62" t="s">
        <v>63</v>
      </c>
      <c r="I10" s="39" t="s">
        <v>79</v>
      </c>
      <c r="J10" s="18" t="s">
        <v>39</v>
      </c>
      <c r="K10" s="82">
        <v>1</v>
      </c>
      <c r="L10" s="82">
        <v>2</v>
      </c>
      <c r="M10" s="90">
        <f t="shared" ref="M10:M75" si="0">K10*L10</f>
        <v>2</v>
      </c>
      <c r="N10" s="91" t="str">
        <f t="shared" ref="N10:N75" si="1">IF(M10=1,"Bajo",IF(M10=2,"Bajo",IF(M10=3,"Medio",IF(M10=4,"Medio",IF(M10=6,"Alto",IF(M10=9,"Alto"))))))</f>
        <v>Bajo</v>
      </c>
      <c r="O10" s="92" t="s">
        <v>61</v>
      </c>
      <c r="P10" s="18" t="s">
        <v>74</v>
      </c>
      <c r="Q10" s="70" t="s">
        <v>56</v>
      </c>
      <c r="R10" s="39" t="s">
        <v>174</v>
      </c>
      <c r="S10" s="39" t="s">
        <v>171</v>
      </c>
      <c r="T10" s="93" t="s">
        <v>382</v>
      </c>
    </row>
    <row r="11" spans="1:20" s="37" customFormat="1">
      <c r="A11" s="84">
        <f t="shared" ref="A11:A84" si="2">ROW(G11)-ROW($G$9)</f>
        <v>2</v>
      </c>
      <c r="B11" s="84" t="s">
        <v>32</v>
      </c>
      <c r="C11" s="82" t="s">
        <v>24</v>
      </c>
      <c r="D11" s="46">
        <v>44588</v>
      </c>
      <c r="E11" s="41" t="str" cm="1">
        <f t="array" ref="E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1" s="41">
        <f>IF(Tabla1[[#This Row],[Fecha de 
Registro ]]="","",YEAR(Tabla1[[#This Row],[Fecha de 
Registro ]]))</f>
        <v>2022</v>
      </c>
      <c r="G11" s="17" t="s">
        <v>33</v>
      </c>
      <c r="H11" s="62" t="s">
        <v>34</v>
      </c>
      <c r="I11" s="94" t="s">
        <v>35</v>
      </c>
      <c r="J11" s="17" t="s">
        <v>38</v>
      </c>
      <c r="K11" s="82">
        <v>1</v>
      </c>
      <c r="L11" s="82">
        <v>2</v>
      </c>
      <c r="M11" s="90">
        <f t="shared" si="0"/>
        <v>2</v>
      </c>
      <c r="N11" s="91" t="str">
        <f t="shared" si="1"/>
        <v>Bajo</v>
      </c>
      <c r="O11" s="92" t="s">
        <v>61</v>
      </c>
      <c r="P11" s="39" t="s">
        <v>75</v>
      </c>
      <c r="Q11" s="95" t="s">
        <v>32</v>
      </c>
      <c r="R11" s="39" t="s">
        <v>179</v>
      </c>
      <c r="S11" s="39" t="s">
        <v>173</v>
      </c>
      <c r="T11" s="93" t="s">
        <v>382</v>
      </c>
    </row>
    <row r="12" spans="1:20" s="37" customFormat="1">
      <c r="A12" s="84">
        <f t="shared" si="2"/>
        <v>3</v>
      </c>
      <c r="B12" s="96" t="s">
        <v>57</v>
      </c>
      <c r="C12" s="82" t="s">
        <v>24</v>
      </c>
      <c r="D12" s="46">
        <v>44659</v>
      </c>
      <c r="E12" s="41" t="str" cm="1">
        <f t="array" ref="E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2" s="41">
        <f>IF(Tabla1[[#This Row],[Fecha de 
Registro ]]="","",YEAR(Tabla1[[#This Row],[Fecha de 
Registro ]]))</f>
        <v>2022</v>
      </c>
      <c r="G12" s="17" t="s">
        <v>48</v>
      </c>
      <c r="H12" s="62" t="s">
        <v>49</v>
      </c>
      <c r="I12" s="39" t="s">
        <v>79</v>
      </c>
      <c r="J12" s="17" t="s">
        <v>50</v>
      </c>
      <c r="K12" s="82">
        <v>2</v>
      </c>
      <c r="L12" s="82">
        <v>1</v>
      </c>
      <c r="M12" s="90">
        <f t="shared" si="0"/>
        <v>2</v>
      </c>
      <c r="N12" s="91" t="str">
        <f t="shared" si="1"/>
        <v>Bajo</v>
      </c>
      <c r="O12" s="92" t="s">
        <v>61</v>
      </c>
      <c r="P12" s="39" t="s">
        <v>105</v>
      </c>
      <c r="Q12" s="95" t="s">
        <v>57</v>
      </c>
      <c r="R12" s="39" t="s">
        <v>174</v>
      </c>
      <c r="S12" s="39" t="s">
        <v>173</v>
      </c>
      <c r="T12" s="93" t="s">
        <v>383</v>
      </c>
    </row>
    <row r="13" spans="1:20" s="37" customFormat="1">
      <c r="A13" s="84">
        <f t="shared" si="2"/>
        <v>4</v>
      </c>
      <c r="B13" s="84" t="s">
        <v>52</v>
      </c>
      <c r="C13" s="82" t="s">
        <v>24</v>
      </c>
      <c r="D13" s="46">
        <v>44681</v>
      </c>
      <c r="E13" s="41" t="str" cm="1">
        <f t="array" ref="E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3" s="41">
        <f>IF(Tabla1[[#This Row],[Fecha de 
Registro ]]="","",YEAR(Tabla1[[#This Row],[Fecha de 
Registro ]]))</f>
        <v>2022</v>
      </c>
      <c r="G13" s="17" t="s">
        <v>41</v>
      </c>
      <c r="H13" s="62" t="s">
        <v>64</v>
      </c>
      <c r="I13" s="39" t="s">
        <v>79</v>
      </c>
      <c r="J13" s="39" t="s">
        <v>79</v>
      </c>
      <c r="K13" s="82">
        <v>2</v>
      </c>
      <c r="L13" s="82">
        <v>1</v>
      </c>
      <c r="M13" s="90">
        <f t="shared" si="0"/>
        <v>2</v>
      </c>
      <c r="N13" s="91" t="str">
        <f t="shared" si="1"/>
        <v>Bajo</v>
      </c>
      <c r="O13" s="92" t="s">
        <v>61</v>
      </c>
      <c r="P13" s="39" t="s">
        <v>77</v>
      </c>
      <c r="Q13" s="95" t="s">
        <v>52</v>
      </c>
      <c r="R13" s="39" t="s">
        <v>179</v>
      </c>
      <c r="S13" s="39" t="s">
        <v>171</v>
      </c>
      <c r="T13" s="93" t="s">
        <v>383</v>
      </c>
    </row>
    <row r="14" spans="1:20" s="37" customFormat="1">
      <c r="A14" s="84">
        <f t="shared" si="2"/>
        <v>5</v>
      </c>
      <c r="B14" s="84" t="s">
        <v>43</v>
      </c>
      <c r="C14" s="82" t="s">
        <v>24</v>
      </c>
      <c r="D14" s="46">
        <v>44686</v>
      </c>
      <c r="E14" s="41" t="str" cm="1">
        <f t="array" ref="E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4" s="41">
        <f>IF(Tabla1[[#This Row],[Fecha de 
Registro ]]="","",YEAR(Tabla1[[#This Row],[Fecha de 
Registro ]]))</f>
        <v>2022</v>
      </c>
      <c r="G14" s="17" t="s">
        <v>36</v>
      </c>
      <c r="H14" s="62" t="s">
        <v>42</v>
      </c>
      <c r="I14" s="94" t="s">
        <v>37</v>
      </c>
      <c r="J14" s="18" t="s">
        <v>39</v>
      </c>
      <c r="K14" s="82">
        <v>1</v>
      </c>
      <c r="L14" s="82">
        <v>2</v>
      </c>
      <c r="M14" s="90">
        <f t="shared" si="0"/>
        <v>2</v>
      </c>
      <c r="N14" s="91" t="str">
        <f t="shared" si="1"/>
        <v>Bajo</v>
      </c>
      <c r="O14" s="92" t="s">
        <v>61</v>
      </c>
      <c r="P14" s="39" t="s">
        <v>76</v>
      </c>
      <c r="Q14" s="95" t="s">
        <v>43</v>
      </c>
      <c r="R14" s="39" t="s">
        <v>179</v>
      </c>
      <c r="S14" s="39" t="s">
        <v>173</v>
      </c>
      <c r="T14" s="93" t="s">
        <v>382</v>
      </c>
    </row>
    <row r="15" spans="1:20" s="37" customFormat="1">
      <c r="A15" s="84">
        <f t="shared" si="2"/>
        <v>6</v>
      </c>
      <c r="B15" s="84" t="s">
        <v>58</v>
      </c>
      <c r="C15" s="82" t="s">
        <v>24</v>
      </c>
      <c r="D15" s="46">
        <v>44691</v>
      </c>
      <c r="E15" s="41" t="str" cm="1">
        <f t="array" ref="E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 s="41">
        <f>IF(Tabla1[[#This Row],[Fecha de 
Registro ]]="","",YEAR(Tabla1[[#This Row],[Fecha de 
Registro ]]))</f>
        <v>2022</v>
      </c>
      <c r="G15" s="17" t="s">
        <v>44</v>
      </c>
      <c r="H15" s="62" t="s">
        <v>45</v>
      </c>
      <c r="I15" s="94" t="s">
        <v>46</v>
      </c>
      <c r="J15" s="17" t="s">
        <v>47</v>
      </c>
      <c r="K15" s="82">
        <v>1</v>
      </c>
      <c r="L15" s="82">
        <v>1</v>
      </c>
      <c r="M15" s="90">
        <f t="shared" si="0"/>
        <v>1</v>
      </c>
      <c r="N15" s="91" t="str">
        <f t="shared" si="1"/>
        <v>Bajo</v>
      </c>
      <c r="O15" s="92" t="s">
        <v>61</v>
      </c>
      <c r="P15" s="39" t="s">
        <v>105</v>
      </c>
      <c r="Q15" s="95" t="s">
        <v>58</v>
      </c>
      <c r="R15" s="39" t="s">
        <v>174</v>
      </c>
      <c r="S15" s="39" t="s">
        <v>173</v>
      </c>
      <c r="T15" s="93" t="s">
        <v>382</v>
      </c>
    </row>
    <row r="16" spans="1:20" s="37" customFormat="1">
      <c r="A16" s="84">
        <f t="shared" si="2"/>
        <v>7</v>
      </c>
      <c r="B16" s="84" t="s">
        <v>59</v>
      </c>
      <c r="C16" s="82" t="s">
        <v>25</v>
      </c>
      <c r="D16" s="46">
        <v>44743</v>
      </c>
      <c r="E16" s="41" t="str" cm="1">
        <f t="array" ref="E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6" s="41">
        <f>IF(Tabla1[[#This Row],[Fecha de 
Registro ]]="","",YEAR(Tabla1[[#This Row],[Fecha de 
Registro ]]))</f>
        <v>2022</v>
      </c>
      <c r="G16" s="17" t="s">
        <v>65</v>
      </c>
      <c r="H16" s="62" t="s">
        <v>66</v>
      </c>
      <c r="I16" s="94" t="s">
        <v>67</v>
      </c>
      <c r="J16" s="18" t="s">
        <v>39</v>
      </c>
      <c r="K16" s="82">
        <v>1</v>
      </c>
      <c r="L16" s="82">
        <v>2</v>
      </c>
      <c r="M16" s="90">
        <f t="shared" si="0"/>
        <v>2</v>
      </c>
      <c r="N16" s="91" t="str">
        <f t="shared" si="1"/>
        <v>Bajo</v>
      </c>
      <c r="O16" s="92" t="s">
        <v>61</v>
      </c>
      <c r="P16" s="39" t="s">
        <v>76</v>
      </c>
      <c r="Q16" s="95" t="s">
        <v>59</v>
      </c>
      <c r="R16" s="39" t="s">
        <v>174</v>
      </c>
      <c r="S16" s="39" t="s">
        <v>173</v>
      </c>
      <c r="T16" s="93" t="s">
        <v>382</v>
      </c>
    </row>
    <row r="17" spans="1:20" s="37" customFormat="1">
      <c r="A17" s="84">
        <f t="shared" si="2"/>
        <v>8</v>
      </c>
      <c r="B17" s="84" t="s">
        <v>60</v>
      </c>
      <c r="C17" s="82" t="s">
        <v>24</v>
      </c>
      <c r="D17" s="46">
        <v>44774</v>
      </c>
      <c r="E17" s="41" t="str" cm="1">
        <f t="array" ref="E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7" s="41">
        <f>IF(Tabla1[[#This Row],[Fecha de 
Registro ]]="","",YEAR(Tabla1[[#This Row],[Fecha de 
Registro ]]))</f>
        <v>2022</v>
      </c>
      <c r="G17" s="17" t="s">
        <v>260</v>
      </c>
      <c r="H17" s="62" t="s">
        <v>53</v>
      </c>
      <c r="I17" s="94" t="s">
        <v>54</v>
      </c>
      <c r="J17" s="17" t="s">
        <v>55</v>
      </c>
      <c r="K17" s="82">
        <v>1</v>
      </c>
      <c r="L17" s="82">
        <v>3</v>
      </c>
      <c r="M17" s="90">
        <f t="shared" si="0"/>
        <v>3</v>
      </c>
      <c r="N17" s="91" t="str">
        <f t="shared" si="1"/>
        <v>Medio</v>
      </c>
      <c r="O17" s="92" t="s">
        <v>61</v>
      </c>
      <c r="P17" s="39" t="s">
        <v>78</v>
      </c>
      <c r="Q17" s="95" t="s">
        <v>60</v>
      </c>
      <c r="R17" s="39" t="s">
        <v>179</v>
      </c>
      <c r="S17" s="39" t="s">
        <v>172</v>
      </c>
      <c r="T17" s="93" t="s">
        <v>383</v>
      </c>
    </row>
    <row r="18" spans="1:20" s="37" customFormat="1">
      <c r="A18" s="84">
        <f t="shared" si="2"/>
        <v>9</v>
      </c>
      <c r="B18" s="84" t="s">
        <v>30</v>
      </c>
      <c r="C18" s="82" t="s">
        <v>25</v>
      </c>
      <c r="D18" s="46">
        <v>44788</v>
      </c>
      <c r="E18" s="41" t="str" cm="1">
        <f t="array" ref="E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8" s="41">
        <f>IF(Tabla1[[#This Row],[Fecha de 
Registro ]]="","",YEAR(Tabla1[[#This Row],[Fecha de 
Registro ]]))</f>
        <v>2022</v>
      </c>
      <c r="G18" s="17" t="s">
        <v>68</v>
      </c>
      <c r="H18" s="62" t="s">
        <v>69</v>
      </c>
      <c r="I18" s="94" t="s">
        <v>70</v>
      </c>
      <c r="J18" s="17" t="s">
        <v>71</v>
      </c>
      <c r="K18" s="82">
        <v>1</v>
      </c>
      <c r="L18" s="82">
        <v>1</v>
      </c>
      <c r="M18" s="90">
        <f t="shared" si="0"/>
        <v>1</v>
      </c>
      <c r="N18" s="91" t="str">
        <f t="shared" si="1"/>
        <v>Bajo</v>
      </c>
      <c r="O18" s="92" t="s">
        <v>61</v>
      </c>
      <c r="P18" s="82" t="s">
        <v>79</v>
      </c>
      <c r="Q18" s="95" t="s">
        <v>30</v>
      </c>
      <c r="R18" s="39" t="s">
        <v>176</v>
      </c>
      <c r="S18" s="39" t="s">
        <v>173</v>
      </c>
      <c r="T18" s="93" t="s">
        <v>383</v>
      </c>
    </row>
    <row r="19" spans="1:20" s="37" customFormat="1" ht="15" customHeight="1">
      <c r="A19" s="84">
        <f t="shared" si="2"/>
        <v>10</v>
      </c>
      <c r="B19" s="13" t="s">
        <v>51</v>
      </c>
      <c r="C19" s="82" t="s">
        <v>25</v>
      </c>
      <c r="D19" s="46">
        <v>44788</v>
      </c>
      <c r="E19" s="41" t="str" cm="1">
        <f t="array" ref="E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9" s="41">
        <f>IF(Tabla1[[#This Row],[Fecha de 
Registro ]]="","",YEAR(Tabla1[[#This Row],[Fecha de 
Registro ]]))</f>
        <v>2022</v>
      </c>
      <c r="G19" s="97" t="s">
        <v>72</v>
      </c>
      <c r="H19" s="98" t="s">
        <v>73</v>
      </c>
      <c r="I19" s="99" t="s">
        <v>70</v>
      </c>
      <c r="J19" s="18" t="s">
        <v>39</v>
      </c>
      <c r="K19" s="82">
        <v>2</v>
      </c>
      <c r="L19" s="82">
        <v>2</v>
      </c>
      <c r="M19" s="90">
        <f t="shared" si="0"/>
        <v>4</v>
      </c>
      <c r="N19" s="91" t="str">
        <f t="shared" si="1"/>
        <v>Medio</v>
      </c>
      <c r="O19" s="92" t="s">
        <v>61</v>
      </c>
      <c r="P19" s="39" t="s">
        <v>76</v>
      </c>
      <c r="Q19" s="95" t="s">
        <v>51</v>
      </c>
      <c r="R19" s="39" t="s">
        <v>176</v>
      </c>
      <c r="S19" s="39" t="s">
        <v>173</v>
      </c>
      <c r="T19" s="93" t="s">
        <v>382</v>
      </c>
    </row>
    <row r="20" spans="1:20" s="37" customFormat="1">
      <c r="A20" s="84">
        <f t="shared" si="2"/>
        <v>11</v>
      </c>
      <c r="B20" s="84" t="s">
        <v>97</v>
      </c>
      <c r="C20" s="82" t="s">
        <v>26</v>
      </c>
      <c r="D20" s="46">
        <v>44797</v>
      </c>
      <c r="E20" s="41" t="str" cm="1">
        <f t="array" ref="E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0" s="41">
        <f>IF(Tabla1[[#This Row],[Fecha de 
Registro ]]="","",YEAR(Tabla1[[#This Row],[Fecha de 
Registro ]]))</f>
        <v>2022</v>
      </c>
      <c r="G20" s="39" t="s">
        <v>98</v>
      </c>
      <c r="H20" s="39" t="s">
        <v>79</v>
      </c>
      <c r="I20" s="44" t="s">
        <v>99</v>
      </c>
      <c r="J20" s="39" t="s">
        <v>100</v>
      </c>
      <c r="K20" s="82">
        <v>1</v>
      </c>
      <c r="L20" s="82">
        <v>1</v>
      </c>
      <c r="M20" s="90">
        <f t="shared" si="0"/>
        <v>1</v>
      </c>
      <c r="N20" s="91" t="str">
        <f t="shared" si="1"/>
        <v>Bajo</v>
      </c>
      <c r="O20" s="92" t="s">
        <v>61</v>
      </c>
      <c r="P20" s="39" t="s">
        <v>101</v>
      </c>
      <c r="Q20" s="95" t="s">
        <v>97</v>
      </c>
      <c r="R20" s="39" t="s">
        <v>176</v>
      </c>
      <c r="S20" s="39" t="s">
        <v>172</v>
      </c>
      <c r="T20" s="93" t="s">
        <v>383</v>
      </c>
    </row>
    <row r="21" spans="1:20" s="37" customFormat="1">
      <c r="A21" s="84">
        <f t="shared" si="2"/>
        <v>12</v>
      </c>
      <c r="B21" s="84" t="s">
        <v>110</v>
      </c>
      <c r="C21" s="82" t="s">
        <v>24</v>
      </c>
      <c r="D21" s="46">
        <v>44798</v>
      </c>
      <c r="E21" s="41" t="str" cm="1">
        <f t="array" ref="E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1" s="41">
        <f>IF(Tabla1[[#This Row],[Fecha de 
Registro ]]="","",YEAR(Tabla1[[#This Row],[Fecha de 
Registro ]]))</f>
        <v>2022</v>
      </c>
      <c r="G21" s="39" t="s">
        <v>106</v>
      </c>
      <c r="H21" s="17" t="s">
        <v>107</v>
      </c>
      <c r="I21" s="44" t="s">
        <v>108</v>
      </c>
      <c r="J21" s="39" t="s">
        <v>71</v>
      </c>
      <c r="K21" s="82">
        <v>2</v>
      </c>
      <c r="L21" s="82">
        <v>1</v>
      </c>
      <c r="M21" s="90">
        <f t="shared" si="0"/>
        <v>2</v>
      </c>
      <c r="N21" s="91" t="str">
        <f t="shared" si="1"/>
        <v>Bajo</v>
      </c>
      <c r="O21" s="92" t="s">
        <v>61</v>
      </c>
      <c r="P21" s="39" t="s">
        <v>109</v>
      </c>
      <c r="Q21" s="95" t="s">
        <v>110</v>
      </c>
      <c r="R21" s="39" t="s">
        <v>176</v>
      </c>
      <c r="S21" s="39" t="s">
        <v>173</v>
      </c>
      <c r="T21" s="93" t="s">
        <v>383</v>
      </c>
    </row>
    <row r="22" spans="1:20" s="37" customFormat="1">
      <c r="A22" s="84">
        <f t="shared" si="2"/>
        <v>13</v>
      </c>
      <c r="B22" s="84" t="s">
        <v>114</v>
      </c>
      <c r="C22" s="82" t="s">
        <v>25</v>
      </c>
      <c r="D22" s="46">
        <v>44799</v>
      </c>
      <c r="E22" s="41" t="str" cm="1">
        <f t="array" ref="E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2" s="41">
        <f>IF(Tabla1[[#This Row],[Fecha de 
Registro ]]="","",YEAR(Tabla1[[#This Row],[Fecha de 
Registro ]]))</f>
        <v>2022</v>
      </c>
      <c r="G22" s="39" t="s">
        <v>111</v>
      </c>
      <c r="H22" s="17" t="s">
        <v>112</v>
      </c>
      <c r="I22" s="44" t="s">
        <v>113</v>
      </c>
      <c r="J22" s="18" t="s">
        <v>39</v>
      </c>
      <c r="K22" s="82">
        <v>1</v>
      </c>
      <c r="L22" s="82">
        <v>2</v>
      </c>
      <c r="M22" s="90">
        <f t="shared" si="0"/>
        <v>2</v>
      </c>
      <c r="N22" s="91" t="str">
        <f t="shared" si="1"/>
        <v>Bajo</v>
      </c>
      <c r="O22" s="92" t="s">
        <v>61</v>
      </c>
      <c r="P22" s="39" t="s">
        <v>94</v>
      </c>
      <c r="Q22" s="95" t="s">
        <v>114</v>
      </c>
      <c r="R22" s="39" t="s">
        <v>176</v>
      </c>
      <c r="S22" s="39" t="s">
        <v>173</v>
      </c>
      <c r="T22" s="93" t="s">
        <v>382</v>
      </c>
    </row>
    <row r="23" spans="1:20" s="37" customFormat="1">
      <c r="A23" s="84">
        <f t="shared" si="2"/>
        <v>14</v>
      </c>
      <c r="B23" s="84" t="s">
        <v>122</v>
      </c>
      <c r="C23" s="82" t="s">
        <v>25</v>
      </c>
      <c r="D23" s="46">
        <v>44810</v>
      </c>
      <c r="E23" s="41" t="str" cm="1">
        <f t="array" ref="E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3" s="41">
        <f>IF(Tabla1[[#This Row],[Fecha de 
Registro ]]="","",YEAR(Tabla1[[#This Row],[Fecha de 
Registro ]]))</f>
        <v>2022</v>
      </c>
      <c r="G23" s="39" t="s">
        <v>125</v>
      </c>
      <c r="H23" s="17" t="s">
        <v>126</v>
      </c>
      <c r="I23" s="44" t="s">
        <v>127</v>
      </c>
      <c r="J23" s="39" t="s">
        <v>71</v>
      </c>
      <c r="K23" s="82">
        <v>2</v>
      </c>
      <c r="L23" s="82">
        <v>1</v>
      </c>
      <c r="M23" s="90">
        <f t="shared" si="0"/>
        <v>2</v>
      </c>
      <c r="N23" s="91" t="str">
        <f t="shared" si="1"/>
        <v>Bajo</v>
      </c>
      <c r="O23" s="92" t="s">
        <v>61</v>
      </c>
      <c r="P23" s="39" t="s">
        <v>109</v>
      </c>
      <c r="Q23" s="95" t="s">
        <v>122</v>
      </c>
      <c r="R23" s="39" t="s">
        <v>176</v>
      </c>
      <c r="S23" s="39" t="s">
        <v>173</v>
      </c>
      <c r="T23" s="93" t="s">
        <v>383</v>
      </c>
    </row>
    <row r="24" spans="1:20" s="37" customFormat="1">
      <c r="A24" s="84">
        <f t="shared" si="2"/>
        <v>15</v>
      </c>
      <c r="B24" s="84" t="s">
        <v>123</v>
      </c>
      <c r="C24" s="82" t="s">
        <v>25</v>
      </c>
      <c r="D24" s="46">
        <v>44810</v>
      </c>
      <c r="E24" s="41" t="str" cm="1">
        <f t="array" ref="E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4" s="41">
        <f>IF(Tabla1[[#This Row],[Fecha de 
Registro ]]="","",YEAR(Tabla1[[#This Row],[Fecha de 
Registro ]]))</f>
        <v>2022</v>
      </c>
      <c r="G24" s="39" t="s">
        <v>128</v>
      </c>
      <c r="H24" s="17" t="s">
        <v>129</v>
      </c>
      <c r="I24" s="44" t="s">
        <v>130</v>
      </c>
      <c r="J24" s="18" t="s">
        <v>39</v>
      </c>
      <c r="K24" s="82">
        <v>1</v>
      </c>
      <c r="L24" s="82">
        <v>2</v>
      </c>
      <c r="M24" s="90">
        <f t="shared" si="0"/>
        <v>2</v>
      </c>
      <c r="N24" s="91" t="str">
        <f t="shared" si="1"/>
        <v>Bajo</v>
      </c>
      <c r="O24" s="92" t="s">
        <v>61</v>
      </c>
      <c r="P24" s="39" t="s">
        <v>76</v>
      </c>
      <c r="Q24" s="95" t="s">
        <v>123</v>
      </c>
      <c r="R24" s="39" t="s">
        <v>176</v>
      </c>
      <c r="S24" s="39" t="s">
        <v>173</v>
      </c>
      <c r="T24" s="93" t="s">
        <v>383</v>
      </c>
    </row>
    <row r="25" spans="1:20" s="37" customFormat="1">
      <c r="A25" s="84">
        <f t="shared" si="2"/>
        <v>16</v>
      </c>
      <c r="B25" s="84" t="s">
        <v>124</v>
      </c>
      <c r="C25" s="82" t="s">
        <v>25</v>
      </c>
      <c r="D25" s="46">
        <v>44810</v>
      </c>
      <c r="E25" s="41" t="str" cm="1">
        <f t="array" ref="E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5" s="41">
        <f>IF(Tabla1[[#This Row],[Fecha de 
Registro ]]="","",YEAR(Tabla1[[#This Row],[Fecha de 
Registro ]]))</f>
        <v>2022</v>
      </c>
      <c r="G25" s="39" t="s">
        <v>133</v>
      </c>
      <c r="H25" s="17" t="s">
        <v>131</v>
      </c>
      <c r="I25" s="44" t="s">
        <v>132</v>
      </c>
      <c r="J25" s="18" t="s">
        <v>39</v>
      </c>
      <c r="K25" s="100">
        <v>1</v>
      </c>
      <c r="L25" s="82">
        <v>2</v>
      </c>
      <c r="M25" s="90">
        <f t="shared" si="0"/>
        <v>2</v>
      </c>
      <c r="N25" s="91" t="str">
        <f t="shared" si="1"/>
        <v>Bajo</v>
      </c>
      <c r="O25" s="92" t="s">
        <v>61</v>
      </c>
      <c r="P25" s="39" t="s">
        <v>76</v>
      </c>
      <c r="Q25" s="95" t="s">
        <v>124</v>
      </c>
      <c r="R25" s="39" t="s">
        <v>176</v>
      </c>
      <c r="S25" s="39" t="s">
        <v>173</v>
      </c>
      <c r="T25" s="93" t="s">
        <v>383</v>
      </c>
    </row>
    <row r="26" spans="1:20" s="37" customFormat="1">
      <c r="A26" s="84">
        <f t="shared" si="2"/>
        <v>17</v>
      </c>
      <c r="B26" s="84" t="s">
        <v>146</v>
      </c>
      <c r="C26" s="82" t="s">
        <v>24</v>
      </c>
      <c r="D26" s="46">
        <v>44811</v>
      </c>
      <c r="E26" s="41" t="str" cm="1">
        <f t="array" ref="E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6" s="41">
        <f>IF(Tabla1[[#This Row],[Fecha de 
Registro ]]="","",YEAR(Tabla1[[#This Row],[Fecha de 
Registro ]]))</f>
        <v>2022</v>
      </c>
      <c r="G26" s="39" t="s">
        <v>147</v>
      </c>
      <c r="H26" s="17" t="s">
        <v>148</v>
      </c>
      <c r="I26" s="39" t="s">
        <v>79</v>
      </c>
      <c r="J26" s="39" t="s">
        <v>542</v>
      </c>
      <c r="K26" s="100">
        <v>2</v>
      </c>
      <c r="L26" s="82">
        <v>1</v>
      </c>
      <c r="M26" s="90">
        <f t="shared" si="0"/>
        <v>2</v>
      </c>
      <c r="N26" s="91" t="str">
        <f t="shared" si="1"/>
        <v>Bajo</v>
      </c>
      <c r="O26" s="92" t="s">
        <v>61</v>
      </c>
      <c r="P26" s="39" t="s">
        <v>78</v>
      </c>
      <c r="Q26" s="95" t="s">
        <v>146</v>
      </c>
      <c r="R26" s="39" t="s">
        <v>179</v>
      </c>
      <c r="S26" s="39" t="s">
        <v>172</v>
      </c>
      <c r="T26" s="93" t="s">
        <v>383</v>
      </c>
    </row>
    <row r="27" spans="1:20" s="37" customFormat="1">
      <c r="A27" s="84">
        <f t="shared" si="2"/>
        <v>18</v>
      </c>
      <c r="B27" s="84" t="s">
        <v>141</v>
      </c>
      <c r="C27" s="82" t="s">
        <v>25</v>
      </c>
      <c r="D27" s="46">
        <v>44812</v>
      </c>
      <c r="E27" s="41" t="str" cm="1">
        <f t="array" ref="E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7" s="41">
        <f>IF(Tabla1[[#This Row],[Fecha de 
Registro ]]="","",YEAR(Tabla1[[#This Row],[Fecha de 
Registro ]]))</f>
        <v>2022</v>
      </c>
      <c r="G27" s="39" t="s">
        <v>142</v>
      </c>
      <c r="H27" s="17" t="s">
        <v>143</v>
      </c>
      <c r="I27" s="44" t="s">
        <v>144</v>
      </c>
      <c r="J27" s="39" t="s">
        <v>213</v>
      </c>
      <c r="K27" s="100">
        <v>2</v>
      </c>
      <c r="L27" s="82">
        <v>2</v>
      </c>
      <c r="M27" s="90">
        <f t="shared" si="0"/>
        <v>4</v>
      </c>
      <c r="N27" s="91" t="str">
        <f t="shared" si="1"/>
        <v>Medio</v>
      </c>
      <c r="O27" s="92" t="s">
        <v>61</v>
      </c>
      <c r="P27" s="39" t="s">
        <v>145</v>
      </c>
      <c r="Q27" s="95" t="s">
        <v>141</v>
      </c>
      <c r="R27" s="39" t="s">
        <v>176</v>
      </c>
      <c r="S27" s="39" t="s">
        <v>173</v>
      </c>
      <c r="T27" s="93" t="s">
        <v>382</v>
      </c>
    </row>
    <row r="28" spans="1:20" s="37" customFormat="1">
      <c r="A28" s="84">
        <f t="shared" si="2"/>
        <v>19</v>
      </c>
      <c r="B28" s="84" t="s">
        <v>149</v>
      </c>
      <c r="C28" s="82" t="s">
        <v>24</v>
      </c>
      <c r="D28" s="46">
        <v>44812</v>
      </c>
      <c r="E28" s="41" t="str" cm="1">
        <f t="array" ref="E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8" s="41">
        <f>IF(Tabla1[[#This Row],[Fecha de 
Registro ]]="","",YEAR(Tabla1[[#This Row],[Fecha de 
Registro ]]))</f>
        <v>2022</v>
      </c>
      <c r="G28" s="39" t="s">
        <v>410</v>
      </c>
      <c r="H28" s="39" t="s">
        <v>79</v>
      </c>
      <c r="I28" s="39" t="s">
        <v>79</v>
      </c>
      <c r="J28" s="39" t="s">
        <v>150</v>
      </c>
      <c r="K28" s="100">
        <v>2</v>
      </c>
      <c r="L28" s="82">
        <v>3</v>
      </c>
      <c r="M28" s="90">
        <f t="shared" si="0"/>
        <v>6</v>
      </c>
      <c r="N28" s="91" t="str">
        <f t="shared" si="1"/>
        <v>Alto</v>
      </c>
      <c r="O28" s="92" t="s">
        <v>61</v>
      </c>
      <c r="P28" s="39" t="s">
        <v>157</v>
      </c>
      <c r="Q28" s="95" t="s">
        <v>149</v>
      </c>
      <c r="R28" s="39" t="s">
        <v>179</v>
      </c>
      <c r="S28" s="39" t="s">
        <v>172</v>
      </c>
      <c r="T28" s="93" t="s">
        <v>79</v>
      </c>
    </row>
    <row r="29" spans="1:20" s="37" customFormat="1">
      <c r="A29" s="84">
        <f t="shared" si="2"/>
        <v>20</v>
      </c>
      <c r="B29" s="84" t="s">
        <v>158</v>
      </c>
      <c r="C29" s="82" t="s">
        <v>24</v>
      </c>
      <c r="D29" s="83">
        <v>44816</v>
      </c>
      <c r="E29" s="82" t="str" cm="1">
        <f t="array" ref="E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9" s="82">
        <f>IF(Tabla1[[#This Row],[Fecha de 
Registro ]]="","",YEAR(Tabla1[[#This Row],[Fecha de 
Registro ]]))</f>
        <v>2022</v>
      </c>
      <c r="G29" s="39" t="s">
        <v>159</v>
      </c>
      <c r="H29" s="17" t="s">
        <v>160</v>
      </c>
      <c r="I29" s="44" t="s">
        <v>161</v>
      </c>
      <c r="J29" s="18" t="s">
        <v>39</v>
      </c>
      <c r="K29" s="100">
        <v>1</v>
      </c>
      <c r="L29" s="82">
        <v>1</v>
      </c>
      <c r="M29" s="90">
        <f t="shared" si="0"/>
        <v>1</v>
      </c>
      <c r="N29" s="91" t="str">
        <f t="shared" si="1"/>
        <v>Bajo</v>
      </c>
      <c r="O29" s="92" t="s">
        <v>61</v>
      </c>
      <c r="P29" s="39" t="s">
        <v>76</v>
      </c>
      <c r="Q29" s="95" t="s">
        <v>158</v>
      </c>
      <c r="R29" s="39" t="s">
        <v>176</v>
      </c>
      <c r="S29" s="39" t="s">
        <v>171</v>
      </c>
      <c r="T29" s="93" t="s">
        <v>383</v>
      </c>
    </row>
    <row r="30" spans="1:20" s="37" customFormat="1">
      <c r="A30" s="84">
        <f t="shared" si="2"/>
        <v>21</v>
      </c>
      <c r="B30" s="84" t="s">
        <v>163</v>
      </c>
      <c r="C30" s="82" t="s">
        <v>25</v>
      </c>
      <c r="D30" s="46">
        <v>44827</v>
      </c>
      <c r="E30" s="41" t="str" cm="1">
        <f t="array" ref="E3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0" s="41">
        <f>IF(Tabla1[[#This Row],[Fecha de 
Registro ]]="","",YEAR(Tabla1[[#This Row],[Fecha de 
Registro ]]))</f>
        <v>2022</v>
      </c>
      <c r="G30" s="39" t="s">
        <v>164</v>
      </c>
      <c r="H30" s="17" t="s">
        <v>180</v>
      </c>
      <c r="I30" s="44" t="s">
        <v>165</v>
      </c>
      <c r="J30" s="18" t="s">
        <v>39</v>
      </c>
      <c r="K30" s="100">
        <v>1</v>
      </c>
      <c r="L30" s="82">
        <v>1</v>
      </c>
      <c r="M30" s="90">
        <f t="shared" si="0"/>
        <v>1</v>
      </c>
      <c r="N30" s="91" t="str">
        <f t="shared" si="1"/>
        <v>Bajo</v>
      </c>
      <c r="O30" s="92" t="s">
        <v>61</v>
      </c>
      <c r="P30" s="39" t="s">
        <v>76</v>
      </c>
      <c r="Q30" s="95" t="s">
        <v>163</v>
      </c>
      <c r="R30" s="39" t="s">
        <v>176</v>
      </c>
      <c r="S30" s="39" t="s">
        <v>173</v>
      </c>
      <c r="T30" s="93" t="s">
        <v>383</v>
      </c>
    </row>
    <row r="31" spans="1:20" s="37" customFormat="1">
      <c r="A31" s="84">
        <f t="shared" si="2"/>
        <v>22</v>
      </c>
      <c r="B31" s="84" t="s">
        <v>166</v>
      </c>
      <c r="C31" s="82" t="s">
        <v>25</v>
      </c>
      <c r="D31" s="83">
        <v>44830</v>
      </c>
      <c r="E31" s="82" t="str" cm="1">
        <f t="array" ref="E3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1" s="82">
        <f>IF(Tabla1[[#This Row],[Fecha de 
Registro ]]="","",YEAR(Tabla1[[#This Row],[Fecha de 
Registro ]]))</f>
        <v>2022</v>
      </c>
      <c r="G31" s="39" t="s">
        <v>167</v>
      </c>
      <c r="H31" s="17" t="s">
        <v>169</v>
      </c>
      <c r="I31" s="44" t="s">
        <v>168</v>
      </c>
      <c r="J31" s="18" t="s">
        <v>39</v>
      </c>
      <c r="K31" s="100">
        <v>1</v>
      </c>
      <c r="L31" s="82">
        <v>1</v>
      </c>
      <c r="M31" s="90">
        <f t="shared" si="0"/>
        <v>1</v>
      </c>
      <c r="N31" s="91" t="str">
        <f t="shared" si="1"/>
        <v>Bajo</v>
      </c>
      <c r="O31" s="92" t="s">
        <v>61</v>
      </c>
      <c r="P31" s="39" t="s">
        <v>76</v>
      </c>
      <c r="Q31" s="95" t="s">
        <v>166</v>
      </c>
      <c r="R31" s="39" t="s">
        <v>176</v>
      </c>
      <c r="S31" s="39" t="s">
        <v>173</v>
      </c>
      <c r="T31" s="93" t="s">
        <v>382</v>
      </c>
    </row>
    <row r="32" spans="1:20" s="37" customFormat="1">
      <c r="A32" s="84">
        <f t="shared" si="2"/>
        <v>23</v>
      </c>
      <c r="B32" s="84" t="s">
        <v>191</v>
      </c>
      <c r="C32" s="82" t="s">
        <v>25</v>
      </c>
      <c r="D32" s="83">
        <v>44833</v>
      </c>
      <c r="E32" s="82" t="str" cm="1">
        <f t="array" ref="E3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2" s="82">
        <f>IF(Tabla1[[#This Row],[Fecha de 
Registro ]]="","",YEAR(Tabla1[[#This Row],[Fecha de 
Registro ]]))</f>
        <v>2022</v>
      </c>
      <c r="G32" s="39" t="s">
        <v>192</v>
      </c>
      <c r="H32" s="17" t="s">
        <v>193</v>
      </c>
      <c r="I32" s="44" t="s">
        <v>195</v>
      </c>
      <c r="J32" s="18" t="s">
        <v>39</v>
      </c>
      <c r="K32" s="100">
        <v>1</v>
      </c>
      <c r="L32" s="82">
        <v>1</v>
      </c>
      <c r="M32" s="90">
        <f t="shared" si="0"/>
        <v>1</v>
      </c>
      <c r="N32" s="91" t="str">
        <f t="shared" si="1"/>
        <v>Bajo</v>
      </c>
      <c r="O32" s="92" t="s">
        <v>61</v>
      </c>
      <c r="P32" s="39" t="s">
        <v>194</v>
      </c>
      <c r="Q32" s="95" t="s">
        <v>191</v>
      </c>
      <c r="R32" s="39" t="s">
        <v>176</v>
      </c>
      <c r="S32" s="39" t="s">
        <v>173</v>
      </c>
      <c r="T32" s="93" t="s">
        <v>382</v>
      </c>
    </row>
    <row r="33" spans="1:20" s="37" customFormat="1">
      <c r="A33" s="84">
        <f t="shared" si="2"/>
        <v>24</v>
      </c>
      <c r="B33" s="84" t="s">
        <v>196</v>
      </c>
      <c r="C33" s="82" t="s">
        <v>24</v>
      </c>
      <c r="D33" s="83">
        <v>44838</v>
      </c>
      <c r="E33" s="82" t="str" cm="1">
        <f t="array" ref="E3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3" s="82">
        <f>IF(Tabla1[[#This Row],[Fecha de 
Registro ]]="","",YEAR(Tabla1[[#This Row],[Fecha de 
Registro ]]))</f>
        <v>2022</v>
      </c>
      <c r="G33" s="39" t="s">
        <v>197</v>
      </c>
      <c r="H33" s="39" t="s">
        <v>79</v>
      </c>
      <c r="I33" s="44" t="s">
        <v>198</v>
      </c>
      <c r="J33" s="39" t="s">
        <v>199</v>
      </c>
      <c r="K33" s="100">
        <v>3</v>
      </c>
      <c r="L33" s="82">
        <v>1</v>
      </c>
      <c r="M33" s="90">
        <f t="shared" si="0"/>
        <v>3</v>
      </c>
      <c r="N33" s="91" t="str">
        <f t="shared" si="1"/>
        <v>Medio</v>
      </c>
      <c r="O33" s="92" t="s">
        <v>61</v>
      </c>
      <c r="P33" s="39" t="s">
        <v>200</v>
      </c>
      <c r="Q33" s="101" t="s">
        <v>196</v>
      </c>
      <c r="R33" s="39" t="s">
        <v>177</v>
      </c>
      <c r="S33" s="39" t="s">
        <v>173</v>
      </c>
      <c r="T33" s="93" t="s">
        <v>383</v>
      </c>
    </row>
    <row r="34" spans="1:20" s="37" customFormat="1">
      <c r="A34" s="84">
        <f t="shared" si="2"/>
        <v>25</v>
      </c>
      <c r="B34" s="84" t="s">
        <v>428</v>
      </c>
      <c r="C34" s="82" t="s">
        <v>26</v>
      </c>
      <c r="D34" s="83">
        <v>44839</v>
      </c>
      <c r="E34" s="82" t="str" cm="1">
        <f t="array" ref="E3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4" s="82">
        <f>IF(Tabla1[[#This Row],[Fecha de 
Registro ]]="","",YEAR(Tabla1[[#This Row],[Fecha de 
Registro ]]))</f>
        <v>2022</v>
      </c>
      <c r="G34" s="39" t="s">
        <v>214</v>
      </c>
      <c r="H34" s="17" t="s">
        <v>215</v>
      </c>
      <c r="I34" s="44" t="s">
        <v>216</v>
      </c>
      <c r="J34" s="18" t="s">
        <v>39</v>
      </c>
      <c r="K34" s="100">
        <v>1</v>
      </c>
      <c r="L34" s="82">
        <v>1</v>
      </c>
      <c r="M34" s="90">
        <f t="shared" si="0"/>
        <v>1</v>
      </c>
      <c r="N34" s="91" t="str">
        <f t="shared" si="1"/>
        <v>Bajo</v>
      </c>
      <c r="O34" s="92" t="s">
        <v>61</v>
      </c>
      <c r="P34" s="39" t="s">
        <v>76</v>
      </c>
      <c r="Q34" s="95" t="s">
        <v>428</v>
      </c>
      <c r="R34" s="39" t="s">
        <v>176</v>
      </c>
      <c r="S34" s="39" t="s">
        <v>173</v>
      </c>
      <c r="T34" s="93" t="s">
        <v>382</v>
      </c>
    </row>
    <row r="35" spans="1:20" s="37" customFormat="1">
      <c r="A35" s="84">
        <f t="shared" si="2"/>
        <v>26</v>
      </c>
      <c r="B35" s="84" t="s">
        <v>201</v>
      </c>
      <c r="C35" s="82" t="s">
        <v>25</v>
      </c>
      <c r="D35" s="83">
        <v>44840</v>
      </c>
      <c r="E35" s="82" t="str" cm="1">
        <f t="array" ref="E3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5" s="82">
        <f>IF(Tabla1[[#This Row],[Fecha de 
Registro ]]="","",YEAR(Tabla1[[#This Row],[Fecha de 
Registro ]]))</f>
        <v>2022</v>
      </c>
      <c r="G35" s="39" t="s">
        <v>202</v>
      </c>
      <c r="H35" s="17" t="s">
        <v>203</v>
      </c>
      <c r="I35" s="44" t="s">
        <v>204</v>
      </c>
      <c r="J35" s="18" t="s">
        <v>39</v>
      </c>
      <c r="K35" s="100">
        <v>2</v>
      </c>
      <c r="L35" s="82">
        <v>1</v>
      </c>
      <c r="M35" s="90">
        <f t="shared" si="0"/>
        <v>2</v>
      </c>
      <c r="N35" s="91" t="str">
        <f t="shared" si="1"/>
        <v>Bajo</v>
      </c>
      <c r="O35" s="92" t="s">
        <v>61</v>
      </c>
      <c r="P35" s="39" t="s">
        <v>94</v>
      </c>
      <c r="Q35" s="95" t="s">
        <v>201</v>
      </c>
      <c r="R35" s="39" t="s">
        <v>176</v>
      </c>
      <c r="S35" s="39" t="s">
        <v>173</v>
      </c>
      <c r="T35" s="93" t="s">
        <v>382</v>
      </c>
    </row>
    <row r="36" spans="1:20" s="37" customFormat="1">
      <c r="A36" s="84">
        <f>ROW(G36)-ROW($G$9)</f>
        <v>27</v>
      </c>
      <c r="B36" s="39" t="s">
        <v>217</v>
      </c>
      <c r="C36" s="82" t="s">
        <v>25</v>
      </c>
      <c r="D36" s="83">
        <v>44848</v>
      </c>
      <c r="E36" s="82" t="str" cm="1">
        <f t="array" ref="E3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6" s="82">
        <f>IF(Tabla1[[#This Row],[Fecha de 
Registro ]]="","",YEAR(Tabla1[[#This Row],[Fecha de 
Registro ]]))</f>
        <v>2022</v>
      </c>
      <c r="G36" s="39" t="s">
        <v>410</v>
      </c>
      <c r="H36" s="17" t="s">
        <v>79</v>
      </c>
      <c r="I36" s="17" t="s">
        <v>79</v>
      </c>
      <c r="J36" s="18" t="s">
        <v>39</v>
      </c>
      <c r="K36" s="100">
        <v>1</v>
      </c>
      <c r="L36" s="82">
        <v>1</v>
      </c>
      <c r="M36" s="90">
        <f t="shared" si="0"/>
        <v>1</v>
      </c>
      <c r="N36" s="91" t="str">
        <f>IF(M36=1,"Bajo",IF(M36=2,"Bajo",IF(M36=3,"Medio",IF(M36=4,"Medio",IF(M36=6,"Alto",IF(M36=9,"Alto"))))))</f>
        <v>Bajo</v>
      </c>
      <c r="O36" s="92" t="s">
        <v>61</v>
      </c>
      <c r="P36" s="39" t="s">
        <v>94</v>
      </c>
      <c r="Q36" s="95" t="s">
        <v>217</v>
      </c>
      <c r="R36" s="39" t="s">
        <v>176</v>
      </c>
      <c r="S36" s="39" t="s">
        <v>173</v>
      </c>
      <c r="T36" s="93" t="s">
        <v>382</v>
      </c>
    </row>
    <row r="37" spans="1:20" s="37" customFormat="1">
      <c r="A37" s="84">
        <f t="shared" si="2"/>
        <v>28</v>
      </c>
      <c r="B37" s="102" t="s">
        <v>218</v>
      </c>
      <c r="C37" s="82" t="s">
        <v>25</v>
      </c>
      <c r="D37" s="83">
        <v>44851</v>
      </c>
      <c r="E37" s="82" t="str" cm="1">
        <f t="array" ref="E3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7" s="82">
        <f>IF(Tabla1[[#This Row],[Fecha de 
Registro ]]="","",YEAR(Tabla1[[#This Row],[Fecha de 
Registro ]]))</f>
        <v>2022</v>
      </c>
      <c r="G37" s="39" t="s">
        <v>219</v>
      </c>
      <c r="H37" s="17" t="s">
        <v>220</v>
      </c>
      <c r="I37" s="44" t="s">
        <v>221</v>
      </c>
      <c r="J37" s="18" t="s">
        <v>39</v>
      </c>
      <c r="K37" s="100">
        <v>1</v>
      </c>
      <c r="L37" s="82">
        <v>1</v>
      </c>
      <c r="M37" s="90">
        <f t="shared" si="0"/>
        <v>1</v>
      </c>
      <c r="N37" s="91" t="str">
        <f t="shared" si="1"/>
        <v>Bajo</v>
      </c>
      <c r="O37" s="92" t="s">
        <v>61</v>
      </c>
      <c r="P37" s="39" t="s">
        <v>94</v>
      </c>
      <c r="Q37" s="101" t="s">
        <v>218</v>
      </c>
      <c r="R37" s="39" t="s">
        <v>176</v>
      </c>
      <c r="S37" s="39" t="s">
        <v>173</v>
      </c>
      <c r="T37" s="93" t="s">
        <v>383</v>
      </c>
    </row>
    <row r="38" spans="1:20" s="37" customFormat="1">
      <c r="A38" s="84">
        <f t="shared" si="2"/>
        <v>29</v>
      </c>
      <c r="B38" s="84" t="s">
        <v>222</v>
      </c>
      <c r="C38" s="82" t="s">
        <v>25</v>
      </c>
      <c r="D38" s="83">
        <v>44854</v>
      </c>
      <c r="E38" s="82" t="str" cm="1">
        <f t="array" ref="E3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8" s="82">
        <f>IF(Tabla1[[#This Row],[Fecha de 
Registro ]]="","",YEAR(Tabla1[[#This Row],[Fecha de 
Registro ]]))</f>
        <v>2022</v>
      </c>
      <c r="G38" s="39" t="s">
        <v>223</v>
      </c>
      <c r="H38" s="17" t="s">
        <v>224</v>
      </c>
      <c r="I38" s="44" t="s">
        <v>225</v>
      </c>
      <c r="J38" s="18" t="s">
        <v>39</v>
      </c>
      <c r="K38" s="100">
        <v>1</v>
      </c>
      <c r="L38" s="82">
        <v>1</v>
      </c>
      <c r="M38" s="90">
        <f t="shared" si="0"/>
        <v>1</v>
      </c>
      <c r="N38" s="91" t="str">
        <f t="shared" si="1"/>
        <v>Bajo</v>
      </c>
      <c r="O38" s="92" t="s">
        <v>61</v>
      </c>
      <c r="P38" s="39" t="s">
        <v>76</v>
      </c>
      <c r="Q38" s="95" t="s">
        <v>222</v>
      </c>
      <c r="R38" s="39" t="s">
        <v>176</v>
      </c>
      <c r="S38" s="39" t="s">
        <v>173</v>
      </c>
      <c r="T38" s="93" t="s">
        <v>383</v>
      </c>
    </row>
    <row r="39" spans="1:20" s="37" customFormat="1">
      <c r="A39" s="84">
        <f t="shared" si="2"/>
        <v>30</v>
      </c>
      <c r="B39" s="84" t="s">
        <v>226</v>
      </c>
      <c r="C39" s="82" t="s">
        <v>25</v>
      </c>
      <c r="D39" s="83">
        <v>44854</v>
      </c>
      <c r="E39" s="82" t="str" cm="1">
        <f t="array" ref="E3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9" s="82">
        <f>IF(Tabla1[[#This Row],[Fecha de 
Registro ]]="","",YEAR(Tabla1[[#This Row],[Fecha de 
Registro ]]))</f>
        <v>2022</v>
      </c>
      <c r="G39" s="39" t="s">
        <v>227</v>
      </c>
      <c r="H39" s="17" t="s">
        <v>228</v>
      </c>
      <c r="I39" s="44" t="s">
        <v>229</v>
      </c>
      <c r="J39" s="18" t="s">
        <v>39</v>
      </c>
      <c r="K39" s="100">
        <v>1</v>
      </c>
      <c r="L39" s="82">
        <v>1</v>
      </c>
      <c r="M39" s="90">
        <f t="shared" si="0"/>
        <v>1</v>
      </c>
      <c r="N39" s="91" t="str">
        <f t="shared" si="1"/>
        <v>Bajo</v>
      </c>
      <c r="O39" s="92" t="s">
        <v>61</v>
      </c>
      <c r="P39" s="39" t="s">
        <v>76</v>
      </c>
      <c r="Q39" s="95" t="s">
        <v>226</v>
      </c>
      <c r="R39" s="39" t="s">
        <v>176</v>
      </c>
      <c r="S39" s="39" t="s">
        <v>173</v>
      </c>
      <c r="T39" s="93" t="s">
        <v>383</v>
      </c>
    </row>
    <row r="40" spans="1:20" s="37" customFormat="1">
      <c r="A40" s="84">
        <f t="shared" si="2"/>
        <v>31</v>
      </c>
      <c r="B40" s="84" t="s">
        <v>230</v>
      </c>
      <c r="C40" s="82" t="s">
        <v>25</v>
      </c>
      <c r="D40" s="83">
        <v>44855</v>
      </c>
      <c r="E40" s="82" t="str" cm="1">
        <f t="array" ref="E4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0" s="82">
        <f>IF(Tabla1[[#This Row],[Fecha de 
Registro ]]="","",YEAR(Tabla1[[#This Row],[Fecha de 
Registro ]]))</f>
        <v>2022</v>
      </c>
      <c r="G40" s="39" t="s">
        <v>231</v>
      </c>
      <c r="H40" s="17" t="s">
        <v>232</v>
      </c>
      <c r="I40" s="44" t="s">
        <v>233</v>
      </c>
      <c r="J40" s="18" t="s">
        <v>39</v>
      </c>
      <c r="K40" s="100">
        <v>1</v>
      </c>
      <c r="L40" s="82">
        <v>1</v>
      </c>
      <c r="M40" s="90">
        <f t="shared" si="0"/>
        <v>1</v>
      </c>
      <c r="N40" s="91" t="str">
        <f t="shared" si="1"/>
        <v>Bajo</v>
      </c>
      <c r="O40" s="92" t="s">
        <v>61</v>
      </c>
      <c r="P40" s="39" t="s">
        <v>234</v>
      </c>
      <c r="Q40" s="95" t="s">
        <v>230</v>
      </c>
      <c r="R40" s="39" t="s">
        <v>176</v>
      </c>
      <c r="S40" s="39" t="s">
        <v>173</v>
      </c>
      <c r="T40" s="93" t="s">
        <v>382</v>
      </c>
    </row>
    <row r="41" spans="1:20" s="37" customFormat="1">
      <c r="A41" s="84">
        <f t="shared" si="2"/>
        <v>32</v>
      </c>
      <c r="B41" s="84" t="s">
        <v>251</v>
      </c>
      <c r="C41" s="82" t="s">
        <v>25</v>
      </c>
      <c r="D41" s="83">
        <v>44861</v>
      </c>
      <c r="E41" s="82" t="str" cm="1">
        <f t="array" ref="E4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1" s="82">
        <f>IF(Tabla1[[#This Row],[Fecha de 
Registro ]]="","",YEAR(Tabla1[[#This Row],[Fecha de 
Registro ]]))</f>
        <v>2022</v>
      </c>
      <c r="G41" s="39" t="s">
        <v>253</v>
      </c>
      <c r="H41" s="17" t="s">
        <v>254</v>
      </c>
      <c r="I41" s="44" t="s">
        <v>255</v>
      </c>
      <c r="J41" s="18" t="s">
        <v>39</v>
      </c>
      <c r="K41" s="100">
        <v>1</v>
      </c>
      <c r="L41" s="82">
        <v>1</v>
      </c>
      <c r="M41" s="90">
        <f t="shared" si="0"/>
        <v>1</v>
      </c>
      <c r="N41" s="91" t="str">
        <f t="shared" si="1"/>
        <v>Bajo</v>
      </c>
      <c r="O41" s="92" t="s">
        <v>61</v>
      </c>
      <c r="P41" s="39" t="s">
        <v>76</v>
      </c>
      <c r="Q41" s="95" t="s">
        <v>251</v>
      </c>
      <c r="R41" s="39" t="s">
        <v>176</v>
      </c>
      <c r="S41" s="39" t="s">
        <v>173</v>
      </c>
      <c r="T41" s="93" t="s">
        <v>383</v>
      </c>
    </row>
    <row r="42" spans="1:20" s="37" customFormat="1">
      <c r="A42" s="84">
        <f t="shared" si="2"/>
        <v>33</v>
      </c>
      <c r="B42" s="84" t="s">
        <v>252</v>
      </c>
      <c r="C42" s="82" t="s">
        <v>25</v>
      </c>
      <c r="D42" s="83">
        <v>44861</v>
      </c>
      <c r="E42" s="82" t="str" cm="1">
        <f t="array" ref="E4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2" s="82">
        <f>IF(Tabla1[[#This Row],[Fecha de 
Registro ]]="","",YEAR(Tabla1[[#This Row],[Fecha de 
Registro ]]))</f>
        <v>2022</v>
      </c>
      <c r="G42" s="39" t="s">
        <v>256</v>
      </c>
      <c r="H42" s="17" t="s">
        <v>257</v>
      </c>
      <c r="I42" s="44" t="s">
        <v>258</v>
      </c>
      <c r="J42" s="18" t="s">
        <v>39</v>
      </c>
      <c r="K42" s="100">
        <v>1</v>
      </c>
      <c r="L42" s="82">
        <v>1</v>
      </c>
      <c r="M42" s="90">
        <f t="shared" si="0"/>
        <v>1</v>
      </c>
      <c r="N42" s="91" t="str">
        <f t="shared" si="1"/>
        <v>Bajo</v>
      </c>
      <c r="O42" s="92" t="s">
        <v>61</v>
      </c>
      <c r="P42" s="39" t="s">
        <v>94</v>
      </c>
      <c r="Q42" s="95" t="s">
        <v>252</v>
      </c>
      <c r="R42" s="39" t="s">
        <v>176</v>
      </c>
      <c r="S42" s="39" t="s">
        <v>173</v>
      </c>
      <c r="T42" s="93" t="s">
        <v>383</v>
      </c>
    </row>
    <row r="43" spans="1:20" s="37" customFormat="1">
      <c r="A43" s="84">
        <f t="shared" si="2"/>
        <v>34</v>
      </c>
      <c r="B43" s="84" t="s">
        <v>259</v>
      </c>
      <c r="C43" s="82" t="s">
        <v>24</v>
      </c>
      <c r="D43" s="83">
        <v>44861</v>
      </c>
      <c r="E43" s="82" t="str" cm="1">
        <f t="array" ref="E4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3" s="82">
        <f>IF(Tabla1[[#This Row],[Fecha de 
Registro ]]="","",YEAR(Tabla1[[#This Row],[Fecha de 
Registro ]]))</f>
        <v>2022</v>
      </c>
      <c r="G43" s="39" t="s">
        <v>260</v>
      </c>
      <c r="H43" s="62" t="s">
        <v>53</v>
      </c>
      <c r="I43" s="44" t="s">
        <v>54</v>
      </c>
      <c r="J43" s="39" t="s">
        <v>261</v>
      </c>
      <c r="K43" s="100">
        <v>2</v>
      </c>
      <c r="L43" s="82">
        <v>1</v>
      </c>
      <c r="M43" s="90">
        <f t="shared" si="0"/>
        <v>2</v>
      </c>
      <c r="N43" s="91" t="str">
        <f t="shared" si="1"/>
        <v>Bajo</v>
      </c>
      <c r="O43" s="92" t="s">
        <v>61</v>
      </c>
      <c r="P43" s="39" t="s">
        <v>78</v>
      </c>
      <c r="Q43" s="95" t="s">
        <v>259</v>
      </c>
      <c r="R43" s="39" t="s">
        <v>179</v>
      </c>
      <c r="S43" s="39" t="s">
        <v>172</v>
      </c>
      <c r="T43" s="93" t="s">
        <v>383</v>
      </c>
    </row>
    <row r="44" spans="1:20" s="37" customFormat="1">
      <c r="A44" s="84">
        <f t="shared" si="2"/>
        <v>35</v>
      </c>
      <c r="B44" s="84" t="s">
        <v>263</v>
      </c>
      <c r="C44" s="82" t="s">
        <v>25</v>
      </c>
      <c r="D44" s="83">
        <v>44869</v>
      </c>
      <c r="E44" s="82" t="str" cm="1">
        <f t="array" ref="E4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4" s="82">
        <f>IF(Tabla1[[#This Row],[Fecha de 
Registro ]]="","",YEAR(Tabla1[[#This Row],[Fecha de 
Registro ]]))</f>
        <v>2022</v>
      </c>
      <c r="G44" s="39" t="s">
        <v>264</v>
      </c>
      <c r="H44" s="17" t="s">
        <v>265</v>
      </c>
      <c r="I44" s="44" t="s">
        <v>266</v>
      </c>
      <c r="J44" s="18" t="s">
        <v>39</v>
      </c>
      <c r="K44" s="100">
        <v>1</v>
      </c>
      <c r="L44" s="82">
        <v>1</v>
      </c>
      <c r="M44" s="90">
        <f t="shared" si="0"/>
        <v>1</v>
      </c>
      <c r="N44" s="91" t="str">
        <f t="shared" si="1"/>
        <v>Bajo</v>
      </c>
      <c r="O44" s="92" t="s">
        <v>61</v>
      </c>
      <c r="P44" s="39" t="s">
        <v>76</v>
      </c>
      <c r="Q44" s="95" t="s">
        <v>263</v>
      </c>
      <c r="R44" s="39" t="s">
        <v>176</v>
      </c>
      <c r="S44" s="39" t="s">
        <v>173</v>
      </c>
      <c r="T44" s="93" t="s">
        <v>383</v>
      </c>
    </row>
    <row r="45" spans="1:20" s="37" customFormat="1">
      <c r="A45" s="84">
        <f t="shared" si="2"/>
        <v>36</v>
      </c>
      <c r="B45" s="84" t="s">
        <v>267</v>
      </c>
      <c r="C45" s="82" t="s">
        <v>25</v>
      </c>
      <c r="D45" s="83">
        <v>44869</v>
      </c>
      <c r="E45" s="82" t="str" cm="1">
        <f t="array" ref="E4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5" s="82">
        <f>IF(Tabla1[[#This Row],[Fecha de 
Registro ]]="","",YEAR(Tabla1[[#This Row],[Fecha de 
Registro ]]))</f>
        <v>2022</v>
      </c>
      <c r="G45" s="39" t="s">
        <v>268</v>
      </c>
      <c r="H45" s="17" t="s">
        <v>269</v>
      </c>
      <c r="I45" s="44" t="s">
        <v>270</v>
      </c>
      <c r="J45" s="18" t="s">
        <v>39</v>
      </c>
      <c r="K45" s="100">
        <v>1</v>
      </c>
      <c r="L45" s="82">
        <v>1</v>
      </c>
      <c r="M45" s="90">
        <f t="shared" si="0"/>
        <v>1</v>
      </c>
      <c r="N45" s="91" t="str">
        <f t="shared" si="1"/>
        <v>Bajo</v>
      </c>
      <c r="O45" s="92" t="s">
        <v>61</v>
      </c>
      <c r="P45" s="39" t="s">
        <v>76</v>
      </c>
      <c r="Q45" s="95" t="s">
        <v>267</v>
      </c>
      <c r="R45" s="39" t="s">
        <v>176</v>
      </c>
      <c r="S45" s="39" t="s">
        <v>276</v>
      </c>
      <c r="T45" s="93" t="s">
        <v>382</v>
      </c>
    </row>
    <row r="46" spans="1:20" s="37" customFormat="1">
      <c r="A46" s="84">
        <f t="shared" si="2"/>
        <v>37</v>
      </c>
      <c r="B46" s="84" t="s">
        <v>271</v>
      </c>
      <c r="C46" s="82" t="s">
        <v>25</v>
      </c>
      <c r="D46" s="83">
        <v>44879</v>
      </c>
      <c r="E46" s="82" t="str" cm="1">
        <f t="array" ref="E4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6" s="82">
        <f>IF(Tabla1[[#This Row],[Fecha de 
Registro ]]="","",YEAR(Tabla1[[#This Row],[Fecha de 
Registro ]]))</f>
        <v>2022</v>
      </c>
      <c r="G46" s="39" t="s">
        <v>273</v>
      </c>
      <c r="H46" s="17" t="s">
        <v>274</v>
      </c>
      <c r="I46" s="44" t="s">
        <v>275</v>
      </c>
      <c r="J46" s="18" t="s">
        <v>39</v>
      </c>
      <c r="K46" s="100">
        <v>1</v>
      </c>
      <c r="L46" s="82">
        <v>1</v>
      </c>
      <c r="M46" s="90">
        <f t="shared" si="0"/>
        <v>1</v>
      </c>
      <c r="N46" s="91" t="str">
        <f t="shared" si="1"/>
        <v>Bajo</v>
      </c>
      <c r="O46" s="92" t="s">
        <v>61</v>
      </c>
      <c r="P46" s="39" t="s">
        <v>76</v>
      </c>
      <c r="Q46" s="95" t="s">
        <v>271</v>
      </c>
      <c r="R46" s="39" t="s">
        <v>176</v>
      </c>
      <c r="S46" s="39" t="s">
        <v>276</v>
      </c>
      <c r="T46" s="93" t="s">
        <v>382</v>
      </c>
    </row>
    <row r="47" spans="1:20" s="37" customFormat="1">
      <c r="A47" s="84">
        <f t="shared" si="2"/>
        <v>38</v>
      </c>
      <c r="B47" s="84" t="s">
        <v>272</v>
      </c>
      <c r="C47" s="82" t="s">
        <v>25</v>
      </c>
      <c r="D47" s="83">
        <v>44879</v>
      </c>
      <c r="E47" s="82" t="str" cm="1">
        <f t="array" ref="E4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7" s="82">
        <f>IF(Tabla1[[#This Row],[Fecha de 
Registro ]]="","",YEAR(Tabla1[[#This Row],[Fecha de 
Registro ]]))</f>
        <v>2022</v>
      </c>
      <c r="G47" s="39" t="s">
        <v>277</v>
      </c>
      <c r="H47" s="17" t="s">
        <v>193</v>
      </c>
      <c r="I47" s="44" t="s">
        <v>195</v>
      </c>
      <c r="J47" s="18" t="s">
        <v>39</v>
      </c>
      <c r="K47" s="100">
        <v>1</v>
      </c>
      <c r="L47" s="82">
        <v>1</v>
      </c>
      <c r="M47" s="90">
        <f t="shared" si="0"/>
        <v>1</v>
      </c>
      <c r="N47" s="91" t="str">
        <f t="shared" si="1"/>
        <v>Bajo</v>
      </c>
      <c r="O47" s="92" t="s">
        <v>61</v>
      </c>
      <c r="P47" s="39" t="s">
        <v>94</v>
      </c>
      <c r="Q47" s="95" t="s">
        <v>272</v>
      </c>
      <c r="R47" s="39" t="s">
        <v>176</v>
      </c>
      <c r="S47" s="39" t="s">
        <v>276</v>
      </c>
      <c r="T47" s="93" t="s">
        <v>382</v>
      </c>
    </row>
    <row r="48" spans="1:20" s="37" customFormat="1">
      <c r="A48" s="84">
        <f t="shared" si="2"/>
        <v>39</v>
      </c>
      <c r="B48" s="84" t="s">
        <v>278</v>
      </c>
      <c r="C48" s="82" t="s">
        <v>25</v>
      </c>
      <c r="D48" s="83">
        <v>44887</v>
      </c>
      <c r="E48" s="82" t="str" cm="1">
        <f t="array" ref="E4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8" s="82">
        <f>IF(Tabla1[[#This Row],[Fecha de 
Registro ]]="","",YEAR(Tabla1[[#This Row],[Fecha de 
Registro ]]))</f>
        <v>2022</v>
      </c>
      <c r="G48" s="39" t="s">
        <v>279</v>
      </c>
      <c r="H48" s="39" t="s">
        <v>79</v>
      </c>
      <c r="I48" s="44" t="s">
        <v>280</v>
      </c>
      <c r="J48" s="39" t="s">
        <v>281</v>
      </c>
      <c r="K48" s="100">
        <v>2</v>
      </c>
      <c r="L48" s="82">
        <v>1</v>
      </c>
      <c r="M48" s="90">
        <f t="shared" si="0"/>
        <v>2</v>
      </c>
      <c r="N48" s="91" t="str">
        <f t="shared" si="1"/>
        <v>Bajo</v>
      </c>
      <c r="O48" s="92" t="s">
        <v>61</v>
      </c>
      <c r="P48" s="39" t="s">
        <v>94</v>
      </c>
      <c r="Q48" s="95" t="s">
        <v>278</v>
      </c>
      <c r="R48" s="39" t="s">
        <v>177</v>
      </c>
      <c r="S48" s="39" t="s">
        <v>276</v>
      </c>
      <c r="T48" s="93" t="s">
        <v>79</v>
      </c>
    </row>
    <row r="49" spans="1:20" s="37" customFormat="1">
      <c r="A49" s="84">
        <f t="shared" si="2"/>
        <v>40</v>
      </c>
      <c r="B49" s="84" t="s">
        <v>282</v>
      </c>
      <c r="C49" s="82" t="s">
        <v>25</v>
      </c>
      <c r="D49" s="83">
        <v>44889</v>
      </c>
      <c r="E49" s="82" t="str" cm="1">
        <f t="array" ref="E4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9" s="82">
        <f>IF(Tabla1[[#This Row],[Fecha de 
Registro ]]="","",YEAR(Tabla1[[#This Row],[Fecha de 
Registro ]]))</f>
        <v>2022</v>
      </c>
      <c r="G49" s="39" t="s">
        <v>284</v>
      </c>
      <c r="H49" s="17" t="s">
        <v>285</v>
      </c>
      <c r="I49" s="103" t="s">
        <v>286</v>
      </c>
      <c r="J49" s="18" t="s">
        <v>39</v>
      </c>
      <c r="K49" s="100">
        <v>1</v>
      </c>
      <c r="L49" s="82">
        <v>1</v>
      </c>
      <c r="M49" s="90">
        <f t="shared" si="0"/>
        <v>1</v>
      </c>
      <c r="N49" s="91" t="str">
        <f t="shared" si="1"/>
        <v>Bajo</v>
      </c>
      <c r="O49" s="92" t="s">
        <v>61</v>
      </c>
      <c r="P49" s="39" t="s">
        <v>76</v>
      </c>
      <c r="Q49" s="95" t="s">
        <v>282</v>
      </c>
      <c r="R49" s="39" t="s">
        <v>176</v>
      </c>
      <c r="S49" s="39" t="s">
        <v>276</v>
      </c>
      <c r="T49" s="93" t="s">
        <v>383</v>
      </c>
    </row>
    <row r="50" spans="1:20" s="37" customFormat="1">
      <c r="A50" s="84">
        <f t="shared" si="2"/>
        <v>41</v>
      </c>
      <c r="B50" s="84" t="s">
        <v>283</v>
      </c>
      <c r="C50" s="82" t="s">
        <v>25</v>
      </c>
      <c r="D50" s="83">
        <v>44890</v>
      </c>
      <c r="E50" s="82" t="str" cm="1">
        <f t="array" ref="E5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0" s="82">
        <f>IF(Tabla1[[#This Row],[Fecha de 
Registro ]]="","",YEAR(Tabla1[[#This Row],[Fecha de 
Registro ]]))</f>
        <v>2022</v>
      </c>
      <c r="G50" s="39" t="s">
        <v>287</v>
      </c>
      <c r="H50" s="17" t="s">
        <v>288</v>
      </c>
      <c r="I50" s="44" t="s">
        <v>289</v>
      </c>
      <c r="J50" s="18" t="s">
        <v>39</v>
      </c>
      <c r="K50" s="100">
        <v>1</v>
      </c>
      <c r="L50" s="82">
        <v>1</v>
      </c>
      <c r="M50" s="90">
        <f t="shared" si="0"/>
        <v>1</v>
      </c>
      <c r="N50" s="91" t="str">
        <f t="shared" si="1"/>
        <v>Bajo</v>
      </c>
      <c r="O50" s="92" t="s">
        <v>61</v>
      </c>
      <c r="P50" s="39" t="s">
        <v>94</v>
      </c>
      <c r="Q50" s="95" t="s">
        <v>283</v>
      </c>
      <c r="R50" s="39" t="s">
        <v>176</v>
      </c>
      <c r="S50" s="39" t="s">
        <v>276</v>
      </c>
      <c r="T50" s="93" t="s">
        <v>383</v>
      </c>
    </row>
    <row r="51" spans="1:20" s="37" customFormat="1">
      <c r="A51" s="84">
        <f t="shared" si="2"/>
        <v>42</v>
      </c>
      <c r="B51" s="84" t="s">
        <v>314</v>
      </c>
      <c r="C51" s="82" t="s">
        <v>25</v>
      </c>
      <c r="D51" s="83">
        <v>44896</v>
      </c>
      <c r="E51" s="82" t="str" cm="1">
        <f t="array" ref="E5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1" s="82">
        <f>IF(Tabla1[[#This Row],[Fecha de 
Registro ]]="","",YEAR(Tabla1[[#This Row],[Fecha de 
Registro ]]))</f>
        <v>2022</v>
      </c>
      <c r="G51" s="39" t="s">
        <v>315</v>
      </c>
      <c r="H51" s="17" t="s">
        <v>316</v>
      </c>
      <c r="I51" s="44" t="s">
        <v>317</v>
      </c>
      <c r="J51" s="18" t="s">
        <v>39</v>
      </c>
      <c r="K51" s="100">
        <v>1</v>
      </c>
      <c r="L51" s="82">
        <v>1</v>
      </c>
      <c r="M51" s="90">
        <f t="shared" si="0"/>
        <v>1</v>
      </c>
      <c r="N51" s="91" t="str">
        <f t="shared" si="1"/>
        <v>Bajo</v>
      </c>
      <c r="O51" s="92" t="s">
        <v>61</v>
      </c>
      <c r="P51" s="39" t="s">
        <v>76</v>
      </c>
      <c r="Q51" s="95" t="s">
        <v>314</v>
      </c>
      <c r="R51" s="39" t="s">
        <v>176</v>
      </c>
      <c r="S51" s="39" t="s">
        <v>276</v>
      </c>
      <c r="T51" s="93" t="s">
        <v>382</v>
      </c>
    </row>
    <row r="52" spans="1:20" s="37" customFormat="1">
      <c r="A52" s="84">
        <f t="shared" si="2"/>
        <v>43</v>
      </c>
      <c r="B52" s="84" t="s">
        <v>330</v>
      </c>
      <c r="C52" s="82" t="s">
        <v>24</v>
      </c>
      <c r="D52" s="83">
        <v>44901</v>
      </c>
      <c r="E52" s="82" t="str" cm="1">
        <f t="array" ref="E5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2" s="82">
        <f>IF(Tabla1[[#This Row],[Fecha de 
Registro ]]="","",YEAR(Tabla1[[#This Row],[Fecha de 
Registro ]]))</f>
        <v>2022</v>
      </c>
      <c r="G52" s="39" t="s">
        <v>331</v>
      </c>
      <c r="H52" s="17" t="s">
        <v>332</v>
      </c>
      <c r="I52" s="104" t="s">
        <v>333</v>
      </c>
      <c r="J52" s="18" t="s">
        <v>39</v>
      </c>
      <c r="K52" s="100">
        <v>1</v>
      </c>
      <c r="L52" s="82">
        <v>1</v>
      </c>
      <c r="M52" s="90">
        <f t="shared" si="0"/>
        <v>1</v>
      </c>
      <c r="N52" s="91" t="str">
        <f t="shared" si="1"/>
        <v>Bajo</v>
      </c>
      <c r="O52" s="92" t="s">
        <v>61</v>
      </c>
      <c r="P52" s="39" t="s">
        <v>76</v>
      </c>
      <c r="Q52" s="95" t="s">
        <v>330</v>
      </c>
      <c r="R52" s="39" t="s">
        <v>176</v>
      </c>
      <c r="S52" s="39" t="s">
        <v>276</v>
      </c>
      <c r="T52" s="93" t="s">
        <v>383</v>
      </c>
    </row>
    <row r="53" spans="1:20" s="37" customFormat="1">
      <c r="A53" s="84">
        <f t="shared" si="2"/>
        <v>44</v>
      </c>
      <c r="B53" s="84" t="s">
        <v>318</v>
      </c>
      <c r="C53" s="82" t="s">
        <v>25</v>
      </c>
      <c r="D53" s="83">
        <v>44903</v>
      </c>
      <c r="E53" s="82" t="str" cm="1">
        <f t="array" ref="E5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3" s="82">
        <f>IF(Tabla1[[#This Row],[Fecha de 
Registro ]]="","",YEAR(Tabla1[[#This Row],[Fecha de 
Registro ]]))</f>
        <v>2022</v>
      </c>
      <c r="G53" s="39" t="s">
        <v>319</v>
      </c>
      <c r="H53" s="39" t="s">
        <v>79</v>
      </c>
      <c r="I53" s="44" t="s">
        <v>320</v>
      </c>
      <c r="J53" s="18" t="s">
        <v>39</v>
      </c>
      <c r="K53" s="100">
        <v>1</v>
      </c>
      <c r="L53" s="82">
        <v>1</v>
      </c>
      <c r="M53" s="90">
        <f t="shared" si="0"/>
        <v>1</v>
      </c>
      <c r="N53" s="91" t="str">
        <f t="shared" si="1"/>
        <v>Bajo</v>
      </c>
      <c r="O53" s="92" t="s">
        <v>61</v>
      </c>
      <c r="P53" s="39" t="s">
        <v>76</v>
      </c>
      <c r="Q53" s="95" t="s">
        <v>318</v>
      </c>
      <c r="R53" s="39" t="s">
        <v>177</v>
      </c>
      <c r="S53" s="39" t="s">
        <v>276</v>
      </c>
      <c r="T53" s="93" t="s">
        <v>383</v>
      </c>
    </row>
    <row r="54" spans="1:20" s="37" customFormat="1">
      <c r="A54" s="84">
        <f t="shared" si="2"/>
        <v>45</v>
      </c>
      <c r="B54" s="84" t="s">
        <v>336</v>
      </c>
      <c r="C54" s="82" t="s">
        <v>24</v>
      </c>
      <c r="D54" s="83">
        <v>44907</v>
      </c>
      <c r="E54" s="82" t="str" cm="1">
        <f t="array" ref="E5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4" s="82">
        <f>IF(Tabla1[[#This Row],[Fecha de 
Registro ]]="","",YEAR(Tabla1[[#This Row],[Fecha de 
Registro ]]))</f>
        <v>2022</v>
      </c>
      <c r="G54" s="39" t="s">
        <v>354</v>
      </c>
      <c r="H54" s="17" t="s">
        <v>337</v>
      </c>
      <c r="I54" s="39" t="s">
        <v>79</v>
      </c>
      <c r="J54" s="39" t="s">
        <v>338</v>
      </c>
      <c r="K54" s="100">
        <v>1</v>
      </c>
      <c r="L54" s="82">
        <v>2</v>
      </c>
      <c r="M54" s="90">
        <f t="shared" si="0"/>
        <v>2</v>
      </c>
      <c r="N54" s="91" t="str">
        <f t="shared" si="1"/>
        <v>Bajo</v>
      </c>
      <c r="O54" s="92" t="s">
        <v>61</v>
      </c>
      <c r="P54" s="39" t="s">
        <v>339</v>
      </c>
      <c r="Q54" s="95" t="s">
        <v>336</v>
      </c>
      <c r="R54" s="39" t="s">
        <v>179</v>
      </c>
      <c r="S54" s="39" t="s">
        <v>172</v>
      </c>
      <c r="T54" s="93" t="s">
        <v>383</v>
      </c>
    </row>
    <row r="55" spans="1:20" s="37" customFormat="1">
      <c r="A55" s="84">
        <f t="shared" si="2"/>
        <v>46</v>
      </c>
      <c r="B55" s="84" t="s">
        <v>341</v>
      </c>
      <c r="C55" s="82" t="s">
        <v>24</v>
      </c>
      <c r="D55" s="83">
        <v>44907</v>
      </c>
      <c r="E55" s="82" t="str" cm="1">
        <f t="array" ref="E5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5" s="82">
        <f>IF(Tabla1[[#This Row],[Fecha de 
Registro ]]="","",YEAR(Tabla1[[#This Row],[Fecha de 
Registro ]]))</f>
        <v>2022</v>
      </c>
      <c r="G55" s="39" t="s">
        <v>354</v>
      </c>
      <c r="H55" s="17" t="s">
        <v>337</v>
      </c>
      <c r="I55" s="39" t="s">
        <v>79</v>
      </c>
      <c r="J55" s="39" t="s">
        <v>342</v>
      </c>
      <c r="K55" s="100">
        <v>1</v>
      </c>
      <c r="L55" s="82">
        <v>1</v>
      </c>
      <c r="M55" s="90">
        <f t="shared" si="0"/>
        <v>1</v>
      </c>
      <c r="N55" s="91" t="str">
        <f t="shared" si="1"/>
        <v>Bajo</v>
      </c>
      <c r="O55" s="92" t="s">
        <v>61</v>
      </c>
      <c r="P55" s="39" t="s">
        <v>340</v>
      </c>
      <c r="Q55" s="95" t="s">
        <v>341</v>
      </c>
      <c r="R55" s="39" t="s">
        <v>179</v>
      </c>
      <c r="S55" s="39" t="s">
        <v>172</v>
      </c>
      <c r="T55" s="93" t="s">
        <v>383</v>
      </c>
    </row>
    <row r="56" spans="1:20" s="37" customFormat="1">
      <c r="A56" s="84">
        <f t="shared" si="2"/>
        <v>47</v>
      </c>
      <c r="B56" s="84" t="s">
        <v>343</v>
      </c>
      <c r="C56" s="82" t="s">
        <v>25</v>
      </c>
      <c r="D56" s="83">
        <v>44921</v>
      </c>
      <c r="E56" s="82" t="str" cm="1">
        <f t="array" ref="E5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6" s="82">
        <f>IF(Tabla1[[#This Row],[Fecha de 
Registro ]]="","",YEAR(Tabla1[[#This Row],[Fecha de 
Registro ]]))</f>
        <v>2022</v>
      </c>
      <c r="G56" s="39" t="s">
        <v>344</v>
      </c>
      <c r="H56" s="17" t="s">
        <v>355</v>
      </c>
      <c r="I56" s="44" t="s">
        <v>345</v>
      </c>
      <c r="J56" s="18" t="s">
        <v>39</v>
      </c>
      <c r="K56" s="100">
        <v>2</v>
      </c>
      <c r="L56" s="82">
        <v>1</v>
      </c>
      <c r="M56" s="90">
        <f t="shared" si="0"/>
        <v>2</v>
      </c>
      <c r="N56" s="91" t="str">
        <f t="shared" si="1"/>
        <v>Bajo</v>
      </c>
      <c r="O56" s="92" t="s">
        <v>61</v>
      </c>
      <c r="P56" s="39" t="s">
        <v>94</v>
      </c>
      <c r="Q56" s="95" t="s">
        <v>343</v>
      </c>
      <c r="R56" s="39" t="s">
        <v>176</v>
      </c>
      <c r="S56" s="39" t="s">
        <v>276</v>
      </c>
      <c r="T56" s="93" t="s">
        <v>382</v>
      </c>
    </row>
    <row r="57" spans="1:20" s="37" customFormat="1">
      <c r="A57" s="84">
        <f t="shared" si="2"/>
        <v>48</v>
      </c>
      <c r="B57" s="84" t="s">
        <v>346</v>
      </c>
      <c r="C57" s="82" t="s">
        <v>25</v>
      </c>
      <c r="D57" s="83">
        <v>44954</v>
      </c>
      <c r="E57" s="82" t="str" cm="1">
        <f t="array" ref="E5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7" s="82">
        <f>IF(Tabla1[[#This Row],[Fecha de 
Registro ]]="","",YEAR(Tabla1[[#This Row],[Fecha de 
Registro ]]))</f>
        <v>2023</v>
      </c>
      <c r="G57" s="39" t="s">
        <v>475</v>
      </c>
      <c r="H57" s="17" t="s">
        <v>348</v>
      </c>
      <c r="I57" s="104" t="s">
        <v>349</v>
      </c>
      <c r="J57" s="39" t="s">
        <v>350</v>
      </c>
      <c r="K57" s="100">
        <v>1</v>
      </c>
      <c r="L57" s="82">
        <v>1</v>
      </c>
      <c r="M57" s="90">
        <f t="shared" si="0"/>
        <v>1</v>
      </c>
      <c r="N57" s="91" t="str">
        <f t="shared" si="1"/>
        <v>Bajo</v>
      </c>
      <c r="O57" s="92" t="s">
        <v>61</v>
      </c>
      <c r="P57" s="39" t="s">
        <v>94</v>
      </c>
      <c r="Q57" s="95" t="s">
        <v>346</v>
      </c>
      <c r="R57" s="39" t="s">
        <v>176</v>
      </c>
      <c r="S57" s="39" t="s">
        <v>276</v>
      </c>
      <c r="T57" s="93" t="s">
        <v>382</v>
      </c>
    </row>
    <row r="58" spans="1:20" s="37" customFormat="1">
      <c r="A58" s="84">
        <f t="shared" si="2"/>
        <v>49</v>
      </c>
      <c r="B58" s="84" t="s">
        <v>351</v>
      </c>
      <c r="C58" s="82" t="s">
        <v>25</v>
      </c>
      <c r="D58" s="83">
        <v>44958</v>
      </c>
      <c r="E58" s="82" t="str" cm="1">
        <f t="array" ref="E5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8" s="82">
        <f>IF(Tabla1[[#This Row],[Fecha de 
Registro ]]="","",YEAR(Tabla1[[#This Row],[Fecha de 
Registro ]]))</f>
        <v>2023</v>
      </c>
      <c r="G58" s="39" t="s">
        <v>352</v>
      </c>
      <c r="H58" s="17" t="s">
        <v>356</v>
      </c>
      <c r="I58" s="104" t="s">
        <v>353</v>
      </c>
      <c r="J58" s="39" t="s">
        <v>350</v>
      </c>
      <c r="K58" s="100">
        <v>1</v>
      </c>
      <c r="L58" s="82">
        <v>1</v>
      </c>
      <c r="M58" s="90">
        <f t="shared" si="0"/>
        <v>1</v>
      </c>
      <c r="N58" s="91" t="str">
        <f t="shared" si="1"/>
        <v>Bajo</v>
      </c>
      <c r="O58" s="92" t="s">
        <v>61</v>
      </c>
      <c r="P58" s="39" t="s">
        <v>94</v>
      </c>
      <c r="Q58" s="95" t="s">
        <v>351</v>
      </c>
      <c r="R58" s="39" t="s">
        <v>176</v>
      </c>
      <c r="S58" s="39" t="s">
        <v>173</v>
      </c>
      <c r="T58" s="93" t="s">
        <v>382</v>
      </c>
    </row>
    <row r="59" spans="1:20" s="37" customFormat="1">
      <c r="A59" s="89">
        <f>ROW(G59)-ROW($G$9)</f>
        <v>50</v>
      </c>
      <c r="B59" s="39" t="s">
        <v>563</v>
      </c>
      <c r="C59" s="82" t="s">
        <v>26</v>
      </c>
      <c r="D59" s="83">
        <v>44960</v>
      </c>
      <c r="E59" s="106" t="str" cm="1">
        <f t="array" ref="E5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9" s="106">
        <f>IF(Tabla1[[#This Row],[Fecha de 
Registro ]]="","",YEAR(Tabla1[[#This Row],[Fecha de 
Registro ]]))</f>
        <v>2023</v>
      </c>
      <c r="G59" s="39" t="s">
        <v>566</v>
      </c>
      <c r="H59" s="17" t="s">
        <v>570</v>
      </c>
      <c r="I59" s="44" t="s">
        <v>571</v>
      </c>
      <c r="J59" s="39" t="s">
        <v>569</v>
      </c>
      <c r="K59" s="100">
        <v>1</v>
      </c>
      <c r="L59" s="82">
        <v>1</v>
      </c>
      <c r="M59" s="90">
        <f t="shared" si="0"/>
        <v>1</v>
      </c>
      <c r="N59" s="91" t="str">
        <f t="shared" si="1"/>
        <v>Bajo</v>
      </c>
      <c r="O59" s="92" t="s">
        <v>61</v>
      </c>
      <c r="P59" s="39" t="s">
        <v>105</v>
      </c>
      <c r="Q59" s="95" t="s">
        <v>563</v>
      </c>
      <c r="R59" s="39" t="s">
        <v>174</v>
      </c>
      <c r="S59" s="39" t="s">
        <v>173</v>
      </c>
      <c r="T59" s="93" t="s">
        <v>383</v>
      </c>
    </row>
    <row r="60" spans="1:20" s="37" customFormat="1">
      <c r="A60" s="84">
        <f t="shared" si="2"/>
        <v>51</v>
      </c>
      <c r="B60" s="84" t="s">
        <v>384</v>
      </c>
      <c r="C60" s="82" t="s">
        <v>25</v>
      </c>
      <c r="D60" s="83">
        <v>44967</v>
      </c>
      <c r="E60" s="82" t="str" cm="1">
        <f t="array" ref="E6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0" s="82">
        <f>IF(Tabla1[[#This Row],[Fecha de 
Registro ]]="","",YEAR(Tabla1[[#This Row],[Fecha de 
Registro ]]))</f>
        <v>2023</v>
      </c>
      <c r="G60" s="39" t="s">
        <v>385</v>
      </c>
      <c r="H60" s="17" t="s">
        <v>386</v>
      </c>
      <c r="I60" s="44" t="s">
        <v>387</v>
      </c>
      <c r="J60" s="39" t="s">
        <v>350</v>
      </c>
      <c r="K60" s="100">
        <v>2</v>
      </c>
      <c r="L60" s="82">
        <v>2</v>
      </c>
      <c r="M60" s="90">
        <f t="shared" si="0"/>
        <v>4</v>
      </c>
      <c r="N60" s="91" t="str">
        <f t="shared" si="1"/>
        <v>Medio</v>
      </c>
      <c r="O60" s="92" t="s">
        <v>61</v>
      </c>
      <c r="P60" s="39" t="s">
        <v>94</v>
      </c>
      <c r="Q60" s="95" t="s">
        <v>384</v>
      </c>
      <c r="R60" s="39" t="s">
        <v>176</v>
      </c>
      <c r="S60" s="39" t="s">
        <v>276</v>
      </c>
      <c r="T60" s="93" t="s">
        <v>388</v>
      </c>
    </row>
    <row r="61" spans="1:20" s="37" customFormat="1">
      <c r="A61" s="84">
        <f t="shared" si="2"/>
        <v>52</v>
      </c>
      <c r="B61" s="84" t="s">
        <v>389</v>
      </c>
      <c r="C61" s="82" t="s">
        <v>25</v>
      </c>
      <c r="D61" s="83">
        <v>44970</v>
      </c>
      <c r="E61" s="82" t="str" cm="1">
        <f t="array" ref="E6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1" s="82">
        <f>IF(Tabla1[[#This Row],[Fecha de 
Registro ]]="","",YEAR(Tabla1[[#This Row],[Fecha de 
Registro ]]))</f>
        <v>2023</v>
      </c>
      <c r="G61" s="39" t="s">
        <v>385</v>
      </c>
      <c r="H61" s="17" t="s">
        <v>386</v>
      </c>
      <c r="I61" s="44" t="s">
        <v>387</v>
      </c>
      <c r="J61" s="39" t="s">
        <v>350</v>
      </c>
      <c r="K61" s="100">
        <v>1</v>
      </c>
      <c r="L61" s="82">
        <v>1</v>
      </c>
      <c r="M61" s="82">
        <f t="shared" si="0"/>
        <v>1</v>
      </c>
      <c r="N61" s="91" t="str">
        <f t="shared" si="1"/>
        <v>Bajo</v>
      </c>
      <c r="O61" s="92" t="s">
        <v>61</v>
      </c>
      <c r="P61" s="39" t="s">
        <v>94</v>
      </c>
      <c r="Q61" s="95" t="s">
        <v>389</v>
      </c>
      <c r="R61" s="39" t="s">
        <v>176</v>
      </c>
      <c r="S61" s="39" t="s">
        <v>173</v>
      </c>
      <c r="T61" s="93" t="s">
        <v>388</v>
      </c>
    </row>
    <row r="62" spans="1:20">
      <c r="A62" s="84">
        <f t="shared" si="2"/>
        <v>53</v>
      </c>
      <c r="B62" s="84" t="s">
        <v>390</v>
      </c>
      <c r="C62" s="82" t="s">
        <v>25</v>
      </c>
      <c r="D62" s="83">
        <v>44970</v>
      </c>
      <c r="E62" s="82" t="str" cm="1">
        <f t="array" ref="E6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2" s="82">
        <f>IF(Tabla1[[#This Row],[Fecha de 
Registro ]]="","",YEAR(Tabla1[[#This Row],[Fecha de 
Registro ]]))</f>
        <v>2023</v>
      </c>
      <c r="G62" s="39" t="s">
        <v>391</v>
      </c>
      <c r="H62" s="17" t="s">
        <v>392</v>
      </c>
      <c r="I62" s="44" t="s">
        <v>393</v>
      </c>
      <c r="J62" s="39" t="s">
        <v>350</v>
      </c>
      <c r="K62" s="8">
        <v>1</v>
      </c>
      <c r="L62" s="6">
        <v>1</v>
      </c>
      <c r="M62" s="6">
        <f t="shared" si="0"/>
        <v>1</v>
      </c>
      <c r="N62" s="2" t="str">
        <f t="shared" si="1"/>
        <v>Bajo</v>
      </c>
      <c r="O62" s="31" t="s">
        <v>61</v>
      </c>
      <c r="P62" s="39" t="s">
        <v>94</v>
      </c>
      <c r="Q62" s="95" t="s">
        <v>390</v>
      </c>
      <c r="R62" s="39" t="s">
        <v>176</v>
      </c>
      <c r="S62" s="39" t="s">
        <v>173</v>
      </c>
      <c r="T62" s="93" t="s">
        <v>383</v>
      </c>
    </row>
    <row r="63" spans="1:20">
      <c r="A63" s="84">
        <f t="shared" si="2"/>
        <v>54</v>
      </c>
      <c r="B63" s="84" t="s">
        <v>395</v>
      </c>
      <c r="C63" s="82" t="s">
        <v>25</v>
      </c>
      <c r="D63" s="83">
        <v>44972</v>
      </c>
      <c r="E63" s="82" t="str" cm="1">
        <f t="array" ref="E6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3" s="82">
        <f>IF(Tabla1[[#This Row],[Fecha de 
Registro ]]="","",YEAR(Tabla1[[#This Row],[Fecha de 
Registro ]]))</f>
        <v>2023</v>
      </c>
      <c r="G63" s="39" t="s">
        <v>396</v>
      </c>
      <c r="H63" s="17" t="s">
        <v>397</v>
      </c>
      <c r="I63" s="44" t="s">
        <v>398</v>
      </c>
      <c r="J63" s="39" t="s">
        <v>350</v>
      </c>
      <c r="K63" s="8">
        <v>1</v>
      </c>
      <c r="L63" s="6">
        <v>1</v>
      </c>
      <c r="M63" s="6">
        <f t="shared" si="0"/>
        <v>1</v>
      </c>
      <c r="N63" s="2" t="str">
        <f t="shared" si="1"/>
        <v>Bajo</v>
      </c>
      <c r="O63" s="31" t="s">
        <v>61</v>
      </c>
      <c r="P63" s="39" t="s">
        <v>94</v>
      </c>
      <c r="Q63" s="105" t="s">
        <v>395</v>
      </c>
      <c r="R63" s="39" t="s">
        <v>176</v>
      </c>
      <c r="S63" s="39" t="s">
        <v>173</v>
      </c>
      <c r="T63" s="93" t="s">
        <v>388</v>
      </c>
    </row>
    <row r="64" spans="1:20">
      <c r="A64" s="120">
        <f t="shared" si="2"/>
        <v>55</v>
      </c>
      <c r="B64" s="120" t="s">
        <v>402</v>
      </c>
      <c r="C64" s="121" t="s">
        <v>25</v>
      </c>
      <c r="D64" s="122">
        <v>44979</v>
      </c>
      <c r="E64" s="121" t="str" cm="1">
        <f t="array" ref="E6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4" s="121">
        <f>IF(Tabla1[[#This Row],[Fecha de 
Registro ]]="","",YEAR(Tabla1[[#This Row],[Fecha de 
Registro ]]))</f>
        <v>2023</v>
      </c>
      <c r="G64" s="123" t="s">
        <v>399</v>
      </c>
      <c r="H64" s="124" t="s">
        <v>401</v>
      </c>
      <c r="I64" s="44" t="s">
        <v>400</v>
      </c>
      <c r="J64" s="123" t="s">
        <v>350</v>
      </c>
      <c r="K64" s="8">
        <v>1</v>
      </c>
      <c r="L64" s="6">
        <v>2</v>
      </c>
      <c r="M64" s="6">
        <f t="shared" si="0"/>
        <v>2</v>
      </c>
      <c r="N64" s="2" t="str">
        <f t="shared" si="1"/>
        <v>Bajo</v>
      </c>
      <c r="O64" s="31" t="s">
        <v>61</v>
      </c>
      <c r="P64" s="39" t="s">
        <v>94</v>
      </c>
      <c r="Q64" s="105" t="s">
        <v>402</v>
      </c>
      <c r="R64" s="39" t="s">
        <v>176</v>
      </c>
      <c r="S64" s="39" t="s">
        <v>173</v>
      </c>
      <c r="T64" s="93" t="s">
        <v>383</v>
      </c>
    </row>
    <row r="65" spans="1:20">
      <c r="A65" s="84">
        <f t="shared" si="2"/>
        <v>56</v>
      </c>
      <c r="B65" s="84" t="s">
        <v>404</v>
      </c>
      <c r="C65" s="82" t="s">
        <v>25</v>
      </c>
      <c r="D65" s="83">
        <v>44988</v>
      </c>
      <c r="E65" s="82" t="str" cm="1">
        <f t="array" ref="E6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5" s="82">
        <f>IF(Tabla1[[#This Row],[Fecha de 
Registro ]]="","",YEAR(Tabla1[[#This Row],[Fecha de 
Registro ]]))</f>
        <v>2023</v>
      </c>
      <c r="G65" s="39" t="s">
        <v>403</v>
      </c>
      <c r="H65" s="17" t="s">
        <v>405</v>
      </c>
      <c r="I65" s="44" t="s">
        <v>406</v>
      </c>
      <c r="J65" s="39" t="s">
        <v>350</v>
      </c>
      <c r="K65" s="8">
        <v>1</v>
      </c>
      <c r="L65" s="6">
        <v>1</v>
      </c>
      <c r="M65" s="6">
        <f t="shared" si="0"/>
        <v>1</v>
      </c>
      <c r="N65" s="2" t="str">
        <f t="shared" si="1"/>
        <v>Bajo</v>
      </c>
      <c r="O65" s="31" t="s">
        <v>61</v>
      </c>
      <c r="P65" s="39" t="s">
        <v>94</v>
      </c>
      <c r="Q65" s="105" t="s">
        <v>404</v>
      </c>
      <c r="R65" s="39" t="s">
        <v>176</v>
      </c>
      <c r="S65" s="39" t="s">
        <v>173</v>
      </c>
      <c r="T65" s="93" t="s">
        <v>383</v>
      </c>
    </row>
    <row r="66" spans="1:20" s="37" customFormat="1">
      <c r="A66" s="84">
        <f t="shared" si="2"/>
        <v>57</v>
      </c>
      <c r="B66" s="84" t="s">
        <v>394</v>
      </c>
      <c r="C66" s="82" t="s">
        <v>24</v>
      </c>
      <c r="D66" s="83">
        <v>44993</v>
      </c>
      <c r="E66" s="82" t="str" cm="1">
        <f t="array" ref="E6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6" s="82">
        <f>IF(Tabla1[[#This Row],[Fecha de 
Registro ]]="","",YEAR(Tabla1[[#This Row],[Fecha de 
Registro ]]))</f>
        <v>2023</v>
      </c>
      <c r="G66" s="39" t="s">
        <v>465</v>
      </c>
      <c r="H66" s="39" t="s">
        <v>79</v>
      </c>
      <c r="I66" s="39" t="s">
        <v>79</v>
      </c>
      <c r="J66" s="39" t="s">
        <v>350</v>
      </c>
      <c r="K66" s="100">
        <v>1</v>
      </c>
      <c r="L66" s="82">
        <v>1</v>
      </c>
      <c r="M66" s="82">
        <f t="shared" si="0"/>
        <v>1</v>
      </c>
      <c r="N66" s="91" t="str">
        <f t="shared" si="1"/>
        <v>Bajo</v>
      </c>
      <c r="O66" s="92" t="s">
        <v>61</v>
      </c>
      <c r="P66" s="39" t="s">
        <v>94</v>
      </c>
      <c r="Q66" s="105" t="s">
        <v>394</v>
      </c>
      <c r="R66" s="39" t="s">
        <v>176</v>
      </c>
      <c r="S66" s="39" t="s">
        <v>173</v>
      </c>
      <c r="T66" s="93" t="s">
        <v>79</v>
      </c>
    </row>
    <row r="67" spans="1:20" s="37" customFormat="1">
      <c r="A67" s="84">
        <f t="shared" si="2"/>
        <v>58</v>
      </c>
      <c r="B67" s="84" t="s">
        <v>407</v>
      </c>
      <c r="C67" s="82" t="s">
        <v>25</v>
      </c>
      <c r="D67" s="83">
        <v>44993</v>
      </c>
      <c r="E67" s="82" t="str" cm="1">
        <f t="array" ref="E6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7" s="82">
        <f>IF(Tabla1[[#This Row],[Fecha de 
Registro ]]="","",YEAR(Tabla1[[#This Row],[Fecha de 
Registro ]]))</f>
        <v>2023</v>
      </c>
      <c r="G67" s="39" t="s">
        <v>411</v>
      </c>
      <c r="H67" s="17" t="s">
        <v>412</v>
      </c>
      <c r="I67" s="44" t="s">
        <v>413</v>
      </c>
      <c r="J67" s="39" t="s">
        <v>350</v>
      </c>
      <c r="K67" s="100">
        <v>1</v>
      </c>
      <c r="L67" s="82">
        <v>1</v>
      </c>
      <c r="M67" s="82">
        <f t="shared" si="0"/>
        <v>1</v>
      </c>
      <c r="N67" s="91" t="str">
        <f t="shared" si="1"/>
        <v>Bajo</v>
      </c>
      <c r="O67" s="92" t="s">
        <v>61</v>
      </c>
      <c r="P67" s="39" t="s">
        <v>94</v>
      </c>
      <c r="Q67" s="105" t="s">
        <v>407</v>
      </c>
      <c r="R67" s="39" t="s">
        <v>176</v>
      </c>
      <c r="S67" s="39" t="s">
        <v>173</v>
      </c>
      <c r="T67" s="93" t="s">
        <v>388</v>
      </c>
    </row>
    <row r="68" spans="1:20" s="37" customFormat="1">
      <c r="A68" s="84">
        <f t="shared" si="2"/>
        <v>59</v>
      </c>
      <c r="B68" s="84" t="s">
        <v>415</v>
      </c>
      <c r="C68" s="82" t="s">
        <v>25</v>
      </c>
      <c r="D68" s="83">
        <v>44993</v>
      </c>
      <c r="E68" s="82" t="str" cm="1">
        <f t="array" ref="E6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8" s="82">
        <f>IF(Tabla1[[#This Row],[Fecha de 
Registro ]]="","",YEAR(Tabla1[[#This Row],[Fecha de 
Registro ]]))</f>
        <v>2023</v>
      </c>
      <c r="G68" s="39" t="s">
        <v>414</v>
      </c>
      <c r="H68" s="17" t="s">
        <v>416</v>
      </c>
      <c r="I68" s="44" t="s">
        <v>417</v>
      </c>
      <c r="J68" s="39" t="s">
        <v>350</v>
      </c>
      <c r="K68" s="100">
        <v>1</v>
      </c>
      <c r="L68" s="82">
        <v>2</v>
      </c>
      <c r="M68" s="82">
        <f t="shared" si="0"/>
        <v>2</v>
      </c>
      <c r="N68" s="91" t="str">
        <f t="shared" si="1"/>
        <v>Bajo</v>
      </c>
      <c r="O68" s="92" t="s">
        <v>61</v>
      </c>
      <c r="P68" s="39" t="s">
        <v>94</v>
      </c>
      <c r="Q68" s="105" t="s">
        <v>415</v>
      </c>
      <c r="R68" s="39" t="s">
        <v>176</v>
      </c>
      <c r="S68" s="39" t="s">
        <v>173</v>
      </c>
      <c r="T68" s="93" t="s">
        <v>383</v>
      </c>
    </row>
    <row r="69" spans="1:20" s="37" customFormat="1">
      <c r="A69" s="84">
        <f t="shared" si="2"/>
        <v>60</v>
      </c>
      <c r="B69" s="84" t="s">
        <v>418</v>
      </c>
      <c r="C69" s="82" t="s">
        <v>25</v>
      </c>
      <c r="D69" s="83">
        <v>44994</v>
      </c>
      <c r="E69" s="82" t="str" cm="1">
        <f t="array" ref="E6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9" s="82">
        <f>IF(Tabla1[[#This Row],[Fecha de 
Registro ]]="","",YEAR(Tabla1[[#This Row],[Fecha de 
Registro ]]))</f>
        <v>2023</v>
      </c>
      <c r="G69" s="39" t="s">
        <v>411</v>
      </c>
      <c r="H69" s="17" t="s">
        <v>412</v>
      </c>
      <c r="I69" s="44" t="s">
        <v>413</v>
      </c>
      <c r="J69" s="39" t="s">
        <v>350</v>
      </c>
      <c r="K69" s="100">
        <v>1</v>
      </c>
      <c r="L69" s="82">
        <v>1</v>
      </c>
      <c r="M69" s="82">
        <f t="shared" si="0"/>
        <v>1</v>
      </c>
      <c r="N69" s="91" t="str">
        <f t="shared" si="1"/>
        <v>Bajo</v>
      </c>
      <c r="O69" s="92" t="s">
        <v>61</v>
      </c>
      <c r="P69" s="39" t="s">
        <v>94</v>
      </c>
      <c r="Q69" s="105" t="s">
        <v>418</v>
      </c>
      <c r="R69" s="39" t="s">
        <v>176</v>
      </c>
      <c r="S69" s="39" t="s">
        <v>173</v>
      </c>
      <c r="T69" s="93" t="s">
        <v>388</v>
      </c>
    </row>
    <row r="70" spans="1:20" s="37" customFormat="1">
      <c r="A70" s="84">
        <f t="shared" si="2"/>
        <v>61</v>
      </c>
      <c r="B70" s="84" t="s">
        <v>419</v>
      </c>
      <c r="C70" s="82" t="s">
        <v>25</v>
      </c>
      <c r="D70" s="83">
        <v>44995</v>
      </c>
      <c r="E70" s="82" t="str" cm="1">
        <f t="array" ref="E7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0" s="82">
        <f>IF(Tabla1[[#This Row],[Fecha de 
Registro ]]="","",YEAR(Tabla1[[#This Row],[Fecha de 
Registro ]]))</f>
        <v>2023</v>
      </c>
      <c r="G70" s="39" t="s">
        <v>420</v>
      </c>
      <c r="H70" s="17" t="s">
        <v>421</v>
      </c>
      <c r="I70" s="44" t="s">
        <v>422</v>
      </c>
      <c r="J70" s="39" t="s">
        <v>350</v>
      </c>
      <c r="K70" s="100">
        <v>1</v>
      </c>
      <c r="L70" s="82">
        <v>2</v>
      </c>
      <c r="M70" s="82">
        <f t="shared" si="0"/>
        <v>2</v>
      </c>
      <c r="N70" s="91" t="str">
        <f t="shared" si="1"/>
        <v>Bajo</v>
      </c>
      <c r="O70" s="92" t="s">
        <v>61</v>
      </c>
      <c r="P70" s="39" t="s">
        <v>94</v>
      </c>
      <c r="Q70" s="105" t="s">
        <v>419</v>
      </c>
      <c r="R70" s="39" t="s">
        <v>176</v>
      </c>
      <c r="S70" s="39" t="s">
        <v>173</v>
      </c>
      <c r="T70" s="93" t="s">
        <v>383</v>
      </c>
    </row>
    <row r="71" spans="1:20" s="37" customFormat="1">
      <c r="A71" s="84">
        <f t="shared" si="2"/>
        <v>62</v>
      </c>
      <c r="B71" s="84" t="s">
        <v>423</v>
      </c>
      <c r="C71" s="82" t="s">
        <v>25</v>
      </c>
      <c r="D71" s="83">
        <v>44999</v>
      </c>
      <c r="E71" s="82" t="str" cm="1">
        <f t="array" ref="E7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1" s="82">
        <f>IF(Tabla1[[#This Row],[Fecha de 
Registro ]]="","",YEAR(Tabla1[[#This Row],[Fecha de 
Registro ]]))</f>
        <v>2023</v>
      </c>
      <c r="G71" s="39" t="s">
        <v>424</v>
      </c>
      <c r="H71" s="17" t="s">
        <v>425</v>
      </c>
      <c r="I71" s="44" t="s">
        <v>426</v>
      </c>
      <c r="J71" s="39" t="s">
        <v>350</v>
      </c>
      <c r="K71" s="100">
        <v>1</v>
      </c>
      <c r="L71" s="82">
        <v>2</v>
      </c>
      <c r="M71" s="82">
        <f t="shared" si="0"/>
        <v>2</v>
      </c>
      <c r="N71" s="91" t="str">
        <f t="shared" si="1"/>
        <v>Bajo</v>
      </c>
      <c r="O71" s="92" t="s">
        <v>61</v>
      </c>
      <c r="P71" s="39" t="s">
        <v>94</v>
      </c>
      <c r="Q71" s="105" t="s">
        <v>423</v>
      </c>
      <c r="R71" s="39" t="s">
        <v>176</v>
      </c>
      <c r="S71" s="39" t="s">
        <v>173</v>
      </c>
      <c r="T71" s="93" t="s">
        <v>383</v>
      </c>
    </row>
    <row r="72" spans="1:20" s="37" customFormat="1">
      <c r="A72" s="84">
        <f t="shared" si="2"/>
        <v>63</v>
      </c>
      <c r="B72" s="84" t="s">
        <v>440</v>
      </c>
      <c r="C72" s="82" t="s">
        <v>26</v>
      </c>
      <c r="D72" s="83">
        <v>44999</v>
      </c>
      <c r="E72" s="82" t="str" cm="1">
        <f t="array" ref="E7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2" s="82">
        <f>IF(Tabla1[[#This Row],[Fecha de 
Registro ]]="","",YEAR(Tabla1[[#This Row],[Fecha de 
Registro ]]))</f>
        <v>2023</v>
      </c>
      <c r="G72" s="39" t="s">
        <v>429</v>
      </c>
      <c r="H72" s="17" t="s">
        <v>430</v>
      </c>
      <c r="I72" s="44" t="s">
        <v>427</v>
      </c>
      <c r="J72" s="39" t="s">
        <v>350</v>
      </c>
      <c r="K72" s="100">
        <v>1</v>
      </c>
      <c r="L72" s="82">
        <v>1</v>
      </c>
      <c r="M72" s="82">
        <f t="shared" si="0"/>
        <v>1</v>
      </c>
      <c r="N72" s="91" t="str">
        <f t="shared" si="1"/>
        <v>Bajo</v>
      </c>
      <c r="O72" s="92" t="s">
        <v>61</v>
      </c>
      <c r="P72" s="39" t="s">
        <v>94</v>
      </c>
      <c r="Q72" s="105" t="s">
        <v>440</v>
      </c>
      <c r="R72" s="39" t="s">
        <v>176</v>
      </c>
      <c r="S72" s="39" t="s">
        <v>173</v>
      </c>
      <c r="T72" s="93" t="s">
        <v>388</v>
      </c>
    </row>
    <row r="73" spans="1:20" s="37" customFormat="1">
      <c r="A73" s="84">
        <f t="shared" si="2"/>
        <v>64</v>
      </c>
      <c r="B73" s="84" t="s">
        <v>431</v>
      </c>
      <c r="C73" s="82" t="s">
        <v>25</v>
      </c>
      <c r="D73" s="83">
        <v>45005</v>
      </c>
      <c r="E73" s="82" t="str" cm="1">
        <f t="array" ref="E7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3" s="82">
        <f>IF(Tabla1[[#This Row],[Fecha de 
Registro ]]="","",YEAR(Tabla1[[#This Row],[Fecha de 
Registro ]]))</f>
        <v>2023</v>
      </c>
      <c r="G73" s="39" t="s">
        <v>456</v>
      </c>
      <c r="H73" s="17" t="s">
        <v>432</v>
      </c>
      <c r="I73" s="44" t="s">
        <v>433</v>
      </c>
      <c r="J73" s="39" t="s">
        <v>350</v>
      </c>
      <c r="K73" s="100">
        <v>1</v>
      </c>
      <c r="L73" s="82">
        <v>1</v>
      </c>
      <c r="M73" s="82">
        <f t="shared" si="0"/>
        <v>1</v>
      </c>
      <c r="N73" s="91" t="str">
        <f t="shared" si="1"/>
        <v>Bajo</v>
      </c>
      <c r="O73" s="92" t="s">
        <v>61</v>
      </c>
      <c r="P73" s="39" t="s">
        <v>94</v>
      </c>
      <c r="Q73" s="105" t="s">
        <v>431</v>
      </c>
      <c r="R73" s="39" t="s">
        <v>176</v>
      </c>
      <c r="S73" s="39" t="s">
        <v>173</v>
      </c>
      <c r="T73" s="93" t="s">
        <v>383</v>
      </c>
    </row>
    <row r="74" spans="1:20" s="37" customFormat="1">
      <c r="A74" s="84">
        <f t="shared" si="2"/>
        <v>65</v>
      </c>
      <c r="B74" s="84" t="s">
        <v>434</v>
      </c>
      <c r="C74" s="82" t="s">
        <v>25</v>
      </c>
      <c r="D74" s="83">
        <v>45006</v>
      </c>
      <c r="E74" s="82" t="str" cm="1">
        <f t="array" ref="E7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4" s="82">
        <f>IF(Tabla1[[#This Row],[Fecha de 
Registro ]]="","",YEAR(Tabla1[[#This Row],[Fecha de 
Registro ]]))</f>
        <v>2023</v>
      </c>
      <c r="G74" s="39" t="s">
        <v>456</v>
      </c>
      <c r="H74" s="17" t="s">
        <v>435</v>
      </c>
      <c r="I74" s="44" t="s">
        <v>433</v>
      </c>
      <c r="J74" s="39" t="s">
        <v>350</v>
      </c>
      <c r="K74" s="100">
        <v>1</v>
      </c>
      <c r="L74" s="82">
        <v>1</v>
      </c>
      <c r="M74" s="82">
        <f t="shared" si="0"/>
        <v>1</v>
      </c>
      <c r="N74" s="91" t="str">
        <f t="shared" si="1"/>
        <v>Bajo</v>
      </c>
      <c r="O74" s="92" t="s">
        <v>61</v>
      </c>
      <c r="P74" s="39" t="s">
        <v>94</v>
      </c>
      <c r="Q74" s="105" t="s">
        <v>434</v>
      </c>
      <c r="R74" s="39" t="s">
        <v>176</v>
      </c>
      <c r="S74" s="39" t="s">
        <v>173</v>
      </c>
      <c r="T74" s="93" t="s">
        <v>383</v>
      </c>
    </row>
    <row r="75" spans="1:20" s="37" customFormat="1">
      <c r="A75" s="84">
        <f t="shared" si="2"/>
        <v>66</v>
      </c>
      <c r="B75" s="84" t="s">
        <v>437</v>
      </c>
      <c r="C75" s="82" t="s">
        <v>25</v>
      </c>
      <c r="D75" s="83">
        <v>45014</v>
      </c>
      <c r="E75" s="82" t="str" cm="1">
        <f t="array" ref="E7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5" s="82">
        <f>IF(Tabla1[[#This Row],[Fecha de 
Registro ]]="","",YEAR(Tabla1[[#This Row],[Fecha de 
Registro ]]))</f>
        <v>2023</v>
      </c>
      <c r="G75" s="39" t="s">
        <v>436</v>
      </c>
      <c r="H75" s="17" t="s">
        <v>439</v>
      </c>
      <c r="I75" s="44" t="s">
        <v>438</v>
      </c>
      <c r="J75" s="39" t="s">
        <v>350</v>
      </c>
      <c r="K75" s="100">
        <v>1</v>
      </c>
      <c r="L75" s="82">
        <v>1</v>
      </c>
      <c r="M75" s="82">
        <f t="shared" si="0"/>
        <v>1</v>
      </c>
      <c r="N75" s="91" t="str">
        <f t="shared" si="1"/>
        <v>Bajo</v>
      </c>
      <c r="O75" s="92" t="s">
        <v>61</v>
      </c>
      <c r="P75" s="39" t="s">
        <v>94</v>
      </c>
      <c r="Q75" s="105" t="s">
        <v>437</v>
      </c>
      <c r="R75" s="39" t="s">
        <v>176</v>
      </c>
      <c r="S75" s="39" t="s">
        <v>173</v>
      </c>
      <c r="T75" s="93" t="s">
        <v>383</v>
      </c>
    </row>
    <row r="76" spans="1:20" s="37" customFormat="1">
      <c r="A76" s="89">
        <f t="shared" si="2"/>
        <v>67</v>
      </c>
      <c r="B76" s="85" t="s">
        <v>467</v>
      </c>
      <c r="C76" s="106" t="s">
        <v>26</v>
      </c>
      <c r="D76" s="83">
        <v>45014</v>
      </c>
      <c r="E76" s="106" t="str" cm="1">
        <f t="array" ref="E7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6" s="106">
        <f>IF(Tabla1[[#This Row],[Fecha de 
Registro ]]="","",YEAR(Tabla1[[#This Row],[Fecha de 
Registro ]]))</f>
        <v>2023</v>
      </c>
      <c r="G76" s="85" t="s">
        <v>441</v>
      </c>
      <c r="H76" s="107" t="s">
        <v>442</v>
      </c>
      <c r="I76" s="108" t="s">
        <v>443</v>
      </c>
      <c r="J76" s="39" t="s">
        <v>350</v>
      </c>
      <c r="K76" s="100">
        <v>1</v>
      </c>
      <c r="L76" s="82">
        <v>1</v>
      </c>
      <c r="M76" s="82">
        <f t="shared" ref="M76:M90" si="3">K76*L76</f>
        <v>1</v>
      </c>
      <c r="N76" s="91" t="str">
        <f t="shared" ref="N76:N85" si="4">IF(M76=1,"Bajo",IF(M76=2,"Bajo",IF(M76=3,"Medio",IF(M76=4,"Medio",IF(M76=6,"Alto",IF(M76=9,"Alto"))))))</f>
        <v>Bajo</v>
      </c>
      <c r="O76" s="92" t="s">
        <v>61</v>
      </c>
      <c r="P76" s="39" t="s">
        <v>94</v>
      </c>
      <c r="Q76" s="109" t="s">
        <v>467</v>
      </c>
      <c r="R76" s="39" t="s">
        <v>176</v>
      </c>
      <c r="S76" s="39" t="s">
        <v>173</v>
      </c>
      <c r="T76" s="93" t="s">
        <v>382</v>
      </c>
    </row>
    <row r="77" spans="1:20">
      <c r="A77" s="89">
        <f t="shared" si="2"/>
        <v>68</v>
      </c>
      <c r="B77" s="85" t="s">
        <v>408</v>
      </c>
      <c r="C77" s="106" t="s">
        <v>24</v>
      </c>
      <c r="D77" s="83">
        <v>45015</v>
      </c>
      <c r="E77" s="82" t="str" cm="1">
        <f t="array" ref="E7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7" s="82">
        <f>IF(Tabla1[[#This Row],[Fecha de 
Registro ]]="","",YEAR(Tabla1[[#This Row],[Fecha de 
Registro ]]))</f>
        <v>2023</v>
      </c>
      <c r="G77" s="39" t="s">
        <v>410</v>
      </c>
      <c r="H77" s="39" t="s">
        <v>79</v>
      </c>
      <c r="I77" s="39" t="s">
        <v>79</v>
      </c>
      <c r="J77" s="39" t="s">
        <v>338</v>
      </c>
      <c r="K77" s="6">
        <v>3</v>
      </c>
      <c r="L77" s="6">
        <v>3</v>
      </c>
      <c r="M77" s="6">
        <f t="shared" si="3"/>
        <v>9</v>
      </c>
      <c r="N77" s="2" t="str">
        <f t="shared" si="4"/>
        <v>Alto</v>
      </c>
      <c r="O77" s="31" t="s">
        <v>61</v>
      </c>
      <c r="P77" s="39" t="s">
        <v>339</v>
      </c>
      <c r="Q77" s="95" t="s">
        <v>408</v>
      </c>
      <c r="R77" s="39" t="s">
        <v>179</v>
      </c>
      <c r="S77" s="39" t="s">
        <v>172</v>
      </c>
      <c r="T77" s="93" t="s">
        <v>79</v>
      </c>
    </row>
    <row r="78" spans="1:20" s="37" customFormat="1">
      <c r="A78" s="89">
        <f t="shared" si="2"/>
        <v>69</v>
      </c>
      <c r="B78" s="84" t="s">
        <v>445</v>
      </c>
      <c r="C78" s="82" t="s">
        <v>25</v>
      </c>
      <c r="D78" s="83">
        <v>45026</v>
      </c>
      <c r="E78" s="82" t="str" cm="1">
        <f t="array" ref="E7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8" s="82">
        <f>IF(Tabla1[[#This Row],[Fecha de 
Registro ]]="","",YEAR(Tabla1[[#This Row],[Fecha de 
Registro ]]))</f>
        <v>2023</v>
      </c>
      <c r="G78" s="39" t="s">
        <v>444</v>
      </c>
      <c r="H78" s="17" t="s">
        <v>447</v>
      </c>
      <c r="I78" s="44" t="s">
        <v>446</v>
      </c>
      <c r="J78" s="39" t="s">
        <v>350</v>
      </c>
      <c r="K78" s="100">
        <v>1</v>
      </c>
      <c r="L78" s="82">
        <v>2</v>
      </c>
      <c r="M78" s="82">
        <f t="shared" si="3"/>
        <v>2</v>
      </c>
      <c r="N78" s="91" t="str">
        <f t="shared" si="4"/>
        <v>Bajo</v>
      </c>
      <c r="O78" s="92" t="s">
        <v>61</v>
      </c>
      <c r="P78" s="39" t="s">
        <v>94</v>
      </c>
      <c r="Q78" s="105" t="s">
        <v>445</v>
      </c>
      <c r="R78" s="39" t="s">
        <v>176</v>
      </c>
      <c r="S78" s="39" t="s">
        <v>173</v>
      </c>
      <c r="T78" s="93" t="s">
        <v>382</v>
      </c>
    </row>
    <row r="79" spans="1:20" s="37" customFormat="1">
      <c r="A79" s="89">
        <f t="shared" si="2"/>
        <v>70</v>
      </c>
      <c r="B79" s="84" t="s">
        <v>450</v>
      </c>
      <c r="C79" s="82" t="s">
        <v>25</v>
      </c>
      <c r="D79" s="83">
        <v>45029</v>
      </c>
      <c r="E79" s="82" t="str" cm="1">
        <f t="array" ref="E7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9" s="82">
        <f>IF(Tabla1[[#This Row],[Fecha de 
Registro ]]="","",YEAR(Tabla1[[#This Row],[Fecha de 
Registro ]]))</f>
        <v>2023</v>
      </c>
      <c r="G79" s="39" t="s">
        <v>451</v>
      </c>
      <c r="H79" s="17" t="s">
        <v>452</v>
      </c>
      <c r="I79" s="44" t="s">
        <v>453</v>
      </c>
      <c r="J79" s="39" t="s">
        <v>350</v>
      </c>
      <c r="K79" s="100">
        <v>1</v>
      </c>
      <c r="L79" s="82">
        <v>2</v>
      </c>
      <c r="M79" s="82">
        <f t="shared" si="3"/>
        <v>2</v>
      </c>
      <c r="N79" s="91" t="str">
        <f t="shared" si="4"/>
        <v>Bajo</v>
      </c>
      <c r="O79" s="92" t="s">
        <v>61</v>
      </c>
      <c r="P79" s="39" t="s">
        <v>94</v>
      </c>
      <c r="Q79" s="105" t="s">
        <v>450</v>
      </c>
      <c r="R79" s="39" t="s">
        <v>176</v>
      </c>
      <c r="S79" s="39" t="s">
        <v>173</v>
      </c>
      <c r="T79" s="93" t="s">
        <v>383</v>
      </c>
    </row>
    <row r="80" spans="1:20" s="37" customFormat="1">
      <c r="A80" s="89">
        <f>ROW(G80)-ROW($G$9)</f>
        <v>71</v>
      </c>
      <c r="B80" s="39" t="s">
        <v>564</v>
      </c>
      <c r="C80" s="82" t="s">
        <v>26</v>
      </c>
      <c r="D80" s="83">
        <v>45033</v>
      </c>
      <c r="E80" s="106" t="str" cm="1">
        <f t="array" ref="E8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0" s="106">
        <f>IF(Tabla1[[#This Row],[Fecha de 
Registro ]]="","",YEAR(Tabla1[[#This Row],[Fecha de 
Registro ]]))</f>
        <v>2023</v>
      </c>
      <c r="G80" s="39" t="s">
        <v>566</v>
      </c>
      <c r="H80" s="17" t="s">
        <v>567</v>
      </c>
      <c r="I80" s="44" t="s">
        <v>568</v>
      </c>
      <c r="J80" s="39" t="s">
        <v>79</v>
      </c>
      <c r="K80" s="100">
        <v>1</v>
      </c>
      <c r="L80" s="82">
        <v>1</v>
      </c>
      <c r="M80" s="90">
        <f t="shared" si="3"/>
        <v>1</v>
      </c>
      <c r="N80" s="91" t="str">
        <f t="shared" si="4"/>
        <v>Bajo</v>
      </c>
      <c r="O80" s="92" t="s">
        <v>61</v>
      </c>
      <c r="P80" s="39" t="s">
        <v>105</v>
      </c>
      <c r="Q80" s="95" t="s">
        <v>564</v>
      </c>
      <c r="R80" s="39" t="s">
        <v>174</v>
      </c>
      <c r="S80" s="39" t="s">
        <v>173</v>
      </c>
      <c r="T80" s="93" t="s">
        <v>383</v>
      </c>
    </row>
    <row r="81" spans="1:20" s="37" customFormat="1">
      <c r="A81" s="89">
        <f>ROW(G81)-ROW($G$9)</f>
        <v>72</v>
      </c>
      <c r="B81" s="39" t="s">
        <v>565</v>
      </c>
      <c r="C81" s="82" t="s">
        <v>26</v>
      </c>
      <c r="D81" s="83">
        <v>45041</v>
      </c>
      <c r="E81" s="106" t="str" cm="1">
        <f t="array" ref="E8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1" s="106">
        <f>IF(Tabla1[[#This Row],[Fecha de 
Registro ]]="","",YEAR(Tabla1[[#This Row],[Fecha de 
Registro ]]))</f>
        <v>2023</v>
      </c>
      <c r="G81" s="39" t="s">
        <v>566</v>
      </c>
      <c r="H81" s="17" t="s">
        <v>570</v>
      </c>
      <c r="I81" s="44" t="s">
        <v>568</v>
      </c>
      <c r="J81" s="39" t="s">
        <v>79</v>
      </c>
      <c r="K81" s="100">
        <v>1</v>
      </c>
      <c r="L81" s="82">
        <v>1</v>
      </c>
      <c r="M81" s="90">
        <f t="shared" si="3"/>
        <v>1</v>
      </c>
      <c r="N81" s="91" t="str">
        <f t="shared" si="4"/>
        <v>Bajo</v>
      </c>
      <c r="O81" s="92" t="s">
        <v>61</v>
      </c>
      <c r="P81" s="39" t="s">
        <v>105</v>
      </c>
      <c r="Q81" s="95" t="s">
        <v>565</v>
      </c>
      <c r="R81" s="39" t="s">
        <v>174</v>
      </c>
      <c r="S81" s="39" t="s">
        <v>173</v>
      </c>
      <c r="T81" s="93" t="s">
        <v>383</v>
      </c>
    </row>
    <row r="82" spans="1:20">
      <c r="A82" s="89">
        <f t="shared" si="2"/>
        <v>73</v>
      </c>
      <c r="B82" s="39" t="s">
        <v>454</v>
      </c>
      <c r="C82" s="82" t="s">
        <v>24</v>
      </c>
      <c r="D82" s="83">
        <v>45043</v>
      </c>
      <c r="E82" s="82" t="str" cm="1">
        <f t="array" ref="E8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2" s="82">
        <f>IF(Tabla1[[#This Row],[Fecha de 
Registro ]]="","",YEAR(Tabla1[[#This Row],[Fecha de 
Registro ]]))</f>
        <v>2023</v>
      </c>
      <c r="G82" s="39" t="s">
        <v>410</v>
      </c>
      <c r="H82" s="39" t="s">
        <v>79</v>
      </c>
      <c r="I82" s="39" t="s">
        <v>79</v>
      </c>
      <c r="J82" s="39" t="s">
        <v>449</v>
      </c>
      <c r="K82" s="6">
        <v>3</v>
      </c>
      <c r="L82" s="6">
        <v>3</v>
      </c>
      <c r="M82" s="6">
        <f t="shared" si="3"/>
        <v>9</v>
      </c>
      <c r="N82" s="2" t="str">
        <f t="shared" si="4"/>
        <v>Alto</v>
      </c>
      <c r="O82" s="31" t="s">
        <v>61</v>
      </c>
      <c r="P82" s="39" t="s">
        <v>448</v>
      </c>
      <c r="Q82" s="95" t="s">
        <v>454</v>
      </c>
      <c r="R82" s="39" t="s">
        <v>179</v>
      </c>
      <c r="S82" s="39" t="s">
        <v>172</v>
      </c>
      <c r="T82" s="93" t="s">
        <v>79</v>
      </c>
    </row>
    <row r="83" spans="1:20" s="37" customFormat="1">
      <c r="A83" s="89">
        <f t="shared" si="2"/>
        <v>74</v>
      </c>
      <c r="B83" s="39" t="s">
        <v>455</v>
      </c>
      <c r="C83" s="82" t="s">
        <v>25</v>
      </c>
      <c r="D83" s="83">
        <v>45051</v>
      </c>
      <c r="E83" s="82" t="str" cm="1">
        <f t="array" ref="E8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3" s="82">
        <f>IF(Tabla1[[#This Row],[Fecha de 
Registro ]]="","",YEAR(Tabla1[[#This Row],[Fecha de 
Registro ]]))</f>
        <v>2023</v>
      </c>
      <c r="G83" s="39" t="s">
        <v>456</v>
      </c>
      <c r="H83" s="17" t="s">
        <v>432</v>
      </c>
      <c r="I83" s="44" t="s">
        <v>433</v>
      </c>
      <c r="J83" s="39" t="s">
        <v>350</v>
      </c>
      <c r="K83" s="100">
        <v>1</v>
      </c>
      <c r="L83" s="82">
        <v>1</v>
      </c>
      <c r="M83" s="82">
        <f t="shared" si="3"/>
        <v>1</v>
      </c>
      <c r="N83" s="91" t="str">
        <f t="shared" si="4"/>
        <v>Bajo</v>
      </c>
      <c r="O83" s="92" t="s">
        <v>61</v>
      </c>
      <c r="P83" s="39" t="s">
        <v>94</v>
      </c>
      <c r="Q83" s="95" t="s">
        <v>455</v>
      </c>
      <c r="R83" s="39" t="s">
        <v>176</v>
      </c>
      <c r="S83" s="39" t="s">
        <v>173</v>
      </c>
      <c r="T83" s="93" t="s">
        <v>383</v>
      </c>
    </row>
    <row r="84" spans="1:20" s="37" customFormat="1">
      <c r="A84" s="84">
        <f t="shared" si="2"/>
        <v>75</v>
      </c>
      <c r="B84" s="39" t="s">
        <v>458</v>
      </c>
      <c r="C84" s="82" t="s">
        <v>25</v>
      </c>
      <c r="D84" s="83">
        <v>45062</v>
      </c>
      <c r="E84" s="82" t="str" cm="1">
        <f t="array" ref="E8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4" s="82">
        <f>IF(Tabla1[[#This Row],[Fecha de 
Registro ]]="","",YEAR(Tabla1[[#This Row],[Fecha de 
Registro ]]))</f>
        <v>2023</v>
      </c>
      <c r="G84" s="39" t="s">
        <v>457</v>
      </c>
      <c r="H84" s="17" t="s">
        <v>460</v>
      </c>
      <c r="I84" s="44" t="s">
        <v>461</v>
      </c>
      <c r="J84" s="39" t="s">
        <v>350</v>
      </c>
      <c r="K84" s="100">
        <v>1</v>
      </c>
      <c r="L84" s="82">
        <v>2</v>
      </c>
      <c r="M84" s="82">
        <f t="shared" si="3"/>
        <v>2</v>
      </c>
      <c r="N84" s="91" t="str">
        <f t="shared" si="4"/>
        <v>Bajo</v>
      </c>
      <c r="O84" s="92" t="s">
        <v>61</v>
      </c>
      <c r="P84" s="39" t="s">
        <v>94</v>
      </c>
      <c r="Q84" s="95" t="s">
        <v>458</v>
      </c>
      <c r="R84" s="39" t="s">
        <v>176</v>
      </c>
      <c r="S84" s="39" t="s">
        <v>173</v>
      </c>
      <c r="T84" s="93" t="s">
        <v>383</v>
      </c>
    </row>
    <row r="85" spans="1:20" s="37" customFormat="1">
      <c r="A85" s="84">
        <f t="shared" ref="A85:A95" si="5">ROW(G85)-ROW($G$9)</f>
        <v>76</v>
      </c>
      <c r="B85" s="39" t="s">
        <v>459</v>
      </c>
      <c r="C85" s="82" t="s">
        <v>25</v>
      </c>
      <c r="D85" s="83">
        <v>45062</v>
      </c>
      <c r="E85" s="82" t="str" cm="1">
        <f t="array" ref="E8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5" s="82">
        <f>IF(Tabla1[[#This Row],[Fecha de 
Registro ]]="","",YEAR(Tabla1[[#This Row],[Fecha de 
Registro ]]))</f>
        <v>2023</v>
      </c>
      <c r="G85" s="39" t="s">
        <v>457</v>
      </c>
      <c r="H85" s="17" t="s">
        <v>460</v>
      </c>
      <c r="I85" s="44" t="s">
        <v>461</v>
      </c>
      <c r="J85" s="39" t="s">
        <v>350</v>
      </c>
      <c r="K85" s="100">
        <v>1</v>
      </c>
      <c r="L85" s="82">
        <v>2</v>
      </c>
      <c r="M85" s="82">
        <f t="shared" si="3"/>
        <v>2</v>
      </c>
      <c r="N85" s="91" t="str">
        <f t="shared" si="4"/>
        <v>Bajo</v>
      </c>
      <c r="O85" s="92" t="s">
        <v>61</v>
      </c>
      <c r="P85" s="39" t="s">
        <v>94</v>
      </c>
      <c r="Q85" s="95" t="s">
        <v>459</v>
      </c>
      <c r="R85" s="39" t="s">
        <v>176</v>
      </c>
      <c r="S85" s="39" t="s">
        <v>173</v>
      </c>
      <c r="T85" s="93" t="s">
        <v>383</v>
      </c>
    </row>
    <row r="86" spans="1:20" s="37" customFormat="1">
      <c r="A86" s="89">
        <f t="shared" si="5"/>
        <v>77</v>
      </c>
      <c r="B86" s="85" t="s">
        <v>466</v>
      </c>
      <c r="C86" s="106" t="s">
        <v>24</v>
      </c>
      <c r="D86" s="110">
        <v>45068</v>
      </c>
      <c r="E86" s="106" t="str" cm="1">
        <f t="array" ref="E8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6" s="106">
        <f>IF(Tabla1[[#This Row],[Fecha de 
Registro ]]="","",YEAR(Tabla1[[#This Row],[Fecha de 
Registro ]]))</f>
        <v>2023</v>
      </c>
      <c r="G86" s="85" t="s">
        <v>410</v>
      </c>
      <c r="H86" s="107" t="s">
        <v>79</v>
      </c>
      <c r="I86" s="85" t="s">
        <v>79</v>
      </c>
      <c r="J86" s="39" t="s">
        <v>474</v>
      </c>
      <c r="K86" s="106">
        <v>3</v>
      </c>
      <c r="L86" s="106">
        <v>3</v>
      </c>
      <c r="M86" s="82">
        <f t="shared" si="3"/>
        <v>9</v>
      </c>
      <c r="N86" s="91" t="str">
        <f t="shared" ref="N86:N107" si="6">IF(M86=1,"Bajo",IF(M86=2,"Bajo",IF(M86=3,"Medio",IF(M86=4,"Medio",IF(M86=6,"Alto",IF(M86=9,"Alto"))))))</f>
        <v>Alto</v>
      </c>
      <c r="O86" s="92" t="s">
        <v>61</v>
      </c>
      <c r="P86" s="39" t="s">
        <v>78</v>
      </c>
      <c r="Q86" s="109" t="s">
        <v>466</v>
      </c>
      <c r="R86" s="39" t="s">
        <v>179</v>
      </c>
      <c r="S86" s="85" t="s">
        <v>172</v>
      </c>
      <c r="T86" s="111" t="s">
        <v>79</v>
      </c>
    </row>
    <row r="87" spans="1:20">
      <c r="A87" s="89">
        <f t="shared" si="5"/>
        <v>78</v>
      </c>
      <c r="B87" s="85" t="s">
        <v>468</v>
      </c>
      <c r="C87" s="106" t="s">
        <v>25</v>
      </c>
      <c r="D87" s="110">
        <v>45068</v>
      </c>
      <c r="E87" s="106" t="str" cm="1">
        <f t="array" ref="E8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7" s="106">
        <f>IF(Tabla1[[#This Row],[Fecha de 
Registro ]]="","",YEAR(Tabla1[[#This Row],[Fecha de 
Registro ]]))</f>
        <v>2023</v>
      </c>
      <c r="G87" s="85" t="s">
        <v>469</v>
      </c>
      <c r="H87" s="107" t="s">
        <v>470</v>
      </c>
      <c r="I87" s="108" t="s">
        <v>471</v>
      </c>
      <c r="J87" s="85" t="s">
        <v>472</v>
      </c>
      <c r="K87" s="126">
        <v>2</v>
      </c>
      <c r="L87" s="106">
        <v>2</v>
      </c>
      <c r="M87" s="106">
        <f t="shared" si="3"/>
        <v>4</v>
      </c>
      <c r="N87" s="160" t="str">
        <f t="shared" si="6"/>
        <v>Medio</v>
      </c>
      <c r="O87" s="161" t="s">
        <v>61</v>
      </c>
      <c r="P87" s="85" t="s">
        <v>473</v>
      </c>
      <c r="Q87" s="109" t="s">
        <v>468</v>
      </c>
      <c r="R87" s="85" t="s">
        <v>177</v>
      </c>
      <c r="S87" s="85" t="s">
        <v>173</v>
      </c>
      <c r="T87" s="111" t="s">
        <v>382</v>
      </c>
    </row>
    <row r="88" spans="1:20" s="37" customFormat="1">
      <c r="A88" s="89">
        <f t="shared" si="5"/>
        <v>79</v>
      </c>
      <c r="B88" s="39" t="s">
        <v>572</v>
      </c>
      <c r="C88" s="106" t="s">
        <v>25</v>
      </c>
      <c r="D88" s="83">
        <v>45077</v>
      </c>
      <c r="E88" s="106" t="str" cm="1">
        <f t="array" ref="E8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8" s="106">
        <f>IF(Tabla1[[#This Row],[Fecha de 
Registro ]]="","",YEAR(Tabla1[[#This Row],[Fecha de 
Registro ]]))</f>
        <v>2023</v>
      </c>
      <c r="G88" s="39" t="s">
        <v>456</v>
      </c>
      <c r="H88" s="17" t="s">
        <v>432</v>
      </c>
      <c r="I88" s="44" t="s">
        <v>433</v>
      </c>
      <c r="J88" s="39" t="s">
        <v>350</v>
      </c>
      <c r="K88" s="100">
        <v>1</v>
      </c>
      <c r="L88" s="82">
        <v>1</v>
      </c>
      <c r="M88" s="82">
        <f t="shared" si="3"/>
        <v>1</v>
      </c>
      <c r="N88" s="91" t="str">
        <f t="shared" si="6"/>
        <v>Bajo</v>
      </c>
      <c r="O88" s="92" t="s">
        <v>61</v>
      </c>
      <c r="P88" s="39" t="s">
        <v>94</v>
      </c>
      <c r="Q88" s="105" t="s">
        <v>572</v>
      </c>
      <c r="R88" s="39" t="s">
        <v>176</v>
      </c>
      <c r="S88" s="39" t="s">
        <v>173</v>
      </c>
      <c r="T88" s="93" t="s">
        <v>383</v>
      </c>
    </row>
    <row r="89" spans="1:20" s="37" customFormat="1">
      <c r="A89" s="89">
        <f t="shared" si="5"/>
        <v>80</v>
      </c>
      <c r="B89" s="89" t="s">
        <v>593</v>
      </c>
      <c r="C89" s="106" t="s">
        <v>25</v>
      </c>
      <c r="D89" s="83">
        <v>45110</v>
      </c>
      <c r="E89" s="106" t="str" cm="1">
        <f t="array" ref="E8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89" s="106">
        <f>IF(Tabla1[[#This Row],[Fecha de 
Registro ]]="","",YEAR(Tabla1[[#This Row],[Fecha de 
Registro ]]))</f>
        <v>2023</v>
      </c>
      <c r="G89" s="89" t="s">
        <v>596</v>
      </c>
      <c r="H89" s="89" t="s">
        <v>597</v>
      </c>
      <c r="I89" s="44" t="s">
        <v>598</v>
      </c>
      <c r="J89" s="39" t="s">
        <v>350</v>
      </c>
      <c r="K89" s="100">
        <v>1</v>
      </c>
      <c r="L89" s="82">
        <v>1</v>
      </c>
      <c r="M89" s="82">
        <v>1</v>
      </c>
      <c r="N89" s="91" t="str">
        <f t="shared" si="6"/>
        <v>Bajo</v>
      </c>
      <c r="O89" s="92" t="s">
        <v>61</v>
      </c>
      <c r="P89" s="39" t="s">
        <v>39</v>
      </c>
      <c r="Q89" s="95" t="s">
        <v>593</v>
      </c>
      <c r="R89" s="39" t="s">
        <v>176</v>
      </c>
      <c r="S89" s="39" t="s">
        <v>276</v>
      </c>
      <c r="T89" s="93" t="s">
        <v>383</v>
      </c>
    </row>
    <row r="90" spans="1:20">
      <c r="A90" s="89">
        <f t="shared" si="5"/>
        <v>81</v>
      </c>
      <c r="B90" s="39" t="s">
        <v>595</v>
      </c>
      <c r="C90" s="106" t="s">
        <v>24</v>
      </c>
      <c r="D90" s="83">
        <v>45110</v>
      </c>
      <c r="E90" s="106" t="str" cm="1">
        <f t="array" ref="E9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0" s="106">
        <f>IF(Tabla1[[#This Row],[Fecha de 
Registro ]]="","",YEAR(Tabla1[[#This Row],[Fecha de 
Registro ]]))</f>
        <v>2023</v>
      </c>
      <c r="G90" s="39" t="s">
        <v>410</v>
      </c>
      <c r="H90" s="107" t="s">
        <v>79</v>
      </c>
      <c r="I90" s="169" t="s">
        <v>79</v>
      </c>
      <c r="J90" s="39" t="s">
        <v>594</v>
      </c>
      <c r="K90" s="100">
        <v>3</v>
      </c>
      <c r="L90" s="82">
        <v>3</v>
      </c>
      <c r="M90" s="82">
        <f t="shared" si="3"/>
        <v>9</v>
      </c>
      <c r="N90" s="91" t="str">
        <f t="shared" si="6"/>
        <v>Alto</v>
      </c>
      <c r="O90" s="92" t="s">
        <v>61</v>
      </c>
      <c r="P90" s="39" t="s">
        <v>101</v>
      </c>
      <c r="Q90" s="95" t="s">
        <v>595</v>
      </c>
      <c r="R90" s="39" t="s">
        <v>179</v>
      </c>
      <c r="S90" s="39" t="s">
        <v>172</v>
      </c>
      <c r="T90" s="93" t="s">
        <v>79</v>
      </c>
    </row>
    <row r="91" spans="1:20">
      <c r="A91" s="89">
        <f t="shared" si="5"/>
        <v>82</v>
      </c>
      <c r="B91" s="39" t="s">
        <v>599</v>
      </c>
      <c r="C91" s="82" t="s">
        <v>25</v>
      </c>
      <c r="D91" s="83">
        <v>45111</v>
      </c>
      <c r="E91" s="126" t="str" cm="1">
        <f t="array" ref="E9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1" s="106">
        <f>IF(Tabla1[[#This Row],[Fecha de 
Registro ]]="","",YEAR(Tabla1[[#This Row],[Fecha de 
Registro ]]))</f>
        <v>2023</v>
      </c>
      <c r="G91" s="39" t="s">
        <v>601</v>
      </c>
      <c r="H91" s="17" t="s">
        <v>602</v>
      </c>
      <c r="I91" s="44" t="s">
        <v>603</v>
      </c>
      <c r="J91" s="39" t="s">
        <v>350</v>
      </c>
      <c r="K91" s="82">
        <v>1</v>
      </c>
      <c r="L91" s="82">
        <v>1</v>
      </c>
      <c r="M91" s="82">
        <v>1</v>
      </c>
      <c r="N91" s="91" t="str">
        <f t="shared" si="6"/>
        <v>Bajo</v>
      </c>
      <c r="O91" s="92" t="s">
        <v>61</v>
      </c>
      <c r="P91" s="39" t="s">
        <v>39</v>
      </c>
      <c r="Q91" s="95" t="s">
        <v>599</v>
      </c>
      <c r="R91" s="39" t="s">
        <v>176</v>
      </c>
      <c r="S91" s="39" t="s">
        <v>276</v>
      </c>
      <c r="T91" s="39" t="s">
        <v>383</v>
      </c>
    </row>
    <row r="92" spans="1:20">
      <c r="A92" s="89">
        <f t="shared" si="5"/>
        <v>83</v>
      </c>
      <c r="B92" s="39" t="s">
        <v>604</v>
      </c>
      <c r="C92" s="82" t="s">
        <v>25</v>
      </c>
      <c r="D92" s="83">
        <v>45127</v>
      </c>
      <c r="E92" s="126" t="str" cm="1">
        <f t="array" ref="E9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2" s="106">
        <f>IF(Tabla1[[#This Row],[Fecha de 
Registro ]]="","",YEAR(Tabla1[[#This Row],[Fecha de 
Registro ]]))</f>
        <v>2023</v>
      </c>
      <c r="G92" s="39" t="s">
        <v>605</v>
      </c>
      <c r="H92" s="17" t="s">
        <v>606</v>
      </c>
      <c r="I92" s="44" t="s">
        <v>607</v>
      </c>
      <c r="J92" s="39" t="s">
        <v>350</v>
      </c>
      <c r="K92" s="82">
        <v>1</v>
      </c>
      <c r="L92" s="82">
        <v>1</v>
      </c>
      <c r="M92" s="82">
        <v>1</v>
      </c>
      <c r="N92" s="91" t="str">
        <f t="shared" si="6"/>
        <v>Bajo</v>
      </c>
      <c r="O92" s="92" t="s">
        <v>61</v>
      </c>
      <c r="P92" s="39" t="s">
        <v>39</v>
      </c>
      <c r="Q92" s="95" t="s">
        <v>604</v>
      </c>
      <c r="R92" s="39" t="s">
        <v>176</v>
      </c>
      <c r="S92" s="39" t="s">
        <v>276</v>
      </c>
      <c r="T92" s="39" t="s">
        <v>383</v>
      </c>
    </row>
    <row r="93" spans="1:20">
      <c r="A93" s="89">
        <f>ROW(G93)-ROW($G$9)</f>
        <v>84</v>
      </c>
      <c r="B93" s="39" t="s">
        <v>614</v>
      </c>
      <c r="C93" s="82" t="s">
        <v>25</v>
      </c>
      <c r="D93" s="83">
        <v>45139</v>
      </c>
      <c r="E93" s="106" t="str" cm="1">
        <f t="array" ref="E9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3" s="106">
        <f>IF(Tabla1[[#This Row],[Fecha de 
Registro ]]="","",YEAR(Tabla1[[#This Row],[Fecha de 
Registro ]]))</f>
        <v>2023</v>
      </c>
      <c r="G93" s="39" t="s">
        <v>618</v>
      </c>
      <c r="H93" s="178" t="s">
        <v>79</v>
      </c>
      <c r="I93" s="108" t="s">
        <v>619</v>
      </c>
      <c r="J93" s="39" t="s">
        <v>350</v>
      </c>
      <c r="K93" s="82">
        <v>1</v>
      </c>
      <c r="L93" s="82">
        <v>1</v>
      </c>
      <c r="M93" s="82">
        <v>1</v>
      </c>
      <c r="N93" s="91" t="str">
        <f t="shared" si="6"/>
        <v>Bajo</v>
      </c>
      <c r="O93" s="92" t="s">
        <v>61</v>
      </c>
      <c r="P93" s="39" t="s">
        <v>39</v>
      </c>
      <c r="Q93" s="95" t="s">
        <v>614</v>
      </c>
      <c r="R93" s="39" t="s">
        <v>177</v>
      </c>
      <c r="S93" s="39" t="s">
        <v>276</v>
      </c>
      <c r="T93" s="93" t="s">
        <v>382</v>
      </c>
    </row>
    <row r="94" spans="1:20" s="37" customFormat="1">
      <c r="A94" s="89">
        <f>ROW(G94)-ROW($G$9)</f>
        <v>85</v>
      </c>
      <c r="B94" s="39" t="s">
        <v>617</v>
      </c>
      <c r="C94" s="82" t="s">
        <v>25</v>
      </c>
      <c r="D94" s="83">
        <v>45139</v>
      </c>
      <c r="E94" s="106" t="str" cm="1">
        <f t="array" ref="E9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4" s="106">
        <f>IF(Tabla1[[#This Row],[Fecha de 
Registro ]]="","",YEAR(Tabla1[[#This Row],[Fecha de 
Registro ]]))</f>
        <v>2023</v>
      </c>
      <c r="G94" s="39" t="s">
        <v>622</v>
      </c>
      <c r="H94" s="17" t="s">
        <v>623</v>
      </c>
      <c r="I94" s="44" t="s">
        <v>624</v>
      </c>
      <c r="J94" s="39" t="s">
        <v>350</v>
      </c>
      <c r="K94" s="82">
        <v>1</v>
      </c>
      <c r="L94" s="82">
        <v>1</v>
      </c>
      <c r="M94" s="82">
        <v>1</v>
      </c>
      <c r="N94" s="91" t="str">
        <f t="shared" si="6"/>
        <v>Bajo</v>
      </c>
      <c r="O94" s="92" t="s">
        <v>61</v>
      </c>
      <c r="P94" s="39" t="s">
        <v>39</v>
      </c>
      <c r="Q94" s="95" t="s">
        <v>617</v>
      </c>
      <c r="R94" s="39" t="s">
        <v>176</v>
      </c>
      <c r="S94" s="39" t="s">
        <v>276</v>
      </c>
      <c r="T94" s="93" t="s">
        <v>621</v>
      </c>
    </row>
    <row r="95" spans="1:20">
      <c r="A95" s="89">
        <f t="shared" si="5"/>
        <v>86</v>
      </c>
      <c r="B95" s="85" t="s">
        <v>620</v>
      </c>
      <c r="C95" s="106" t="s">
        <v>25</v>
      </c>
      <c r="D95" s="110">
        <v>45140</v>
      </c>
      <c r="E95" s="106" t="str" cm="1">
        <f t="array" ref="E9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5" s="106">
        <f>IF(Tabla1[[#This Row],[Fecha de 
Registro ]]="","",YEAR(Tabla1[[#This Row],[Fecha de 
Registro ]]))</f>
        <v>2023</v>
      </c>
      <c r="G95" s="85" t="s">
        <v>615</v>
      </c>
      <c r="H95" s="178" t="s">
        <v>79</v>
      </c>
      <c r="I95" s="186" t="s">
        <v>616</v>
      </c>
      <c r="J95" s="85" t="s">
        <v>350</v>
      </c>
      <c r="K95" s="106">
        <v>1</v>
      </c>
      <c r="L95" s="106">
        <v>1</v>
      </c>
      <c r="M95" s="106">
        <v>1</v>
      </c>
      <c r="N95" s="160" t="str">
        <f t="shared" si="6"/>
        <v>Bajo</v>
      </c>
      <c r="O95" s="161" t="s">
        <v>61</v>
      </c>
      <c r="P95" s="85" t="s">
        <v>39</v>
      </c>
      <c r="Q95" s="109" t="s">
        <v>620</v>
      </c>
      <c r="R95" s="85" t="s">
        <v>177</v>
      </c>
      <c r="S95" s="85" t="s">
        <v>276</v>
      </c>
      <c r="T95" s="85" t="s">
        <v>383</v>
      </c>
    </row>
    <row r="96" spans="1:20" s="37" customFormat="1">
      <c r="A96" s="89">
        <f t="shared" ref="A96:A105" si="7">ROW(G96)-ROW($G$9)</f>
        <v>87</v>
      </c>
      <c r="B96" s="39" t="s">
        <v>625</v>
      </c>
      <c r="C96" s="106" t="s">
        <v>25</v>
      </c>
      <c r="D96" s="110">
        <v>45147</v>
      </c>
      <c r="E96" s="82" t="str" cm="1">
        <f t="array" ref="E9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6" s="82">
        <f>IF(Tabla1[[#This Row],[Fecha de 
Registro ]]="","",YEAR(Tabla1[[#This Row],[Fecha de 
Registro ]]))</f>
        <v>2023</v>
      </c>
      <c r="G96" s="39" t="s">
        <v>632</v>
      </c>
      <c r="H96" s="17" t="s">
        <v>633</v>
      </c>
      <c r="I96" s="44" t="s">
        <v>634</v>
      </c>
      <c r="J96" s="85" t="s">
        <v>350</v>
      </c>
      <c r="K96" s="106">
        <v>1</v>
      </c>
      <c r="L96" s="106">
        <v>1</v>
      </c>
      <c r="M96" s="106">
        <v>1</v>
      </c>
      <c r="N96" s="160" t="str">
        <f t="shared" si="6"/>
        <v>Bajo</v>
      </c>
      <c r="O96" s="92" t="s">
        <v>61</v>
      </c>
      <c r="P96" s="85" t="s">
        <v>39</v>
      </c>
      <c r="Q96" s="95" t="s">
        <v>625</v>
      </c>
      <c r="R96" s="85" t="s">
        <v>176</v>
      </c>
      <c r="S96" s="85" t="s">
        <v>276</v>
      </c>
      <c r="T96" s="85" t="s">
        <v>383</v>
      </c>
    </row>
    <row r="97" spans="1:20" s="37" customFormat="1">
      <c r="A97" s="89">
        <f t="shared" si="7"/>
        <v>88</v>
      </c>
      <c r="B97" s="39" t="s">
        <v>626</v>
      </c>
      <c r="C97" s="106" t="s">
        <v>25</v>
      </c>
      <c r="D97" s="110">
        <v>45148</v>
      </c>
      <c r="E97" s="82" t="str" cm="1">
        <f t="array" ref="E9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7" s="82">
        <f>IF(Tabla1[[#This Row],[Fecha de 
Registro ]]="","",YEAR(Tabla1[[#This Row],[Fecha de 
Registro ]]))</f>
        <v>2023</v>
      </c>
      <c r="G97" s="39" t="s">
        <v>628</v>
      </c>
      <c r="H97" s="17" t="s">
        <v>630</v>
      </c>
      <c r="I97" s="44" t="s">
        <v>631</v>
      </c>
      <c r="J97" s="85" t="s">
        <v>350</v>
      </c>
      <c r="K97" s="106">
        <v>1</v>
      </c>
      <c r="L97" s="106">
        <v>1</v>
      </c>
      <c r="M97" s="106">
        <v>1</v>
      </c>
      <c r="N97" s="160" t="str">
        <f t="shared" si="6"/>
        <v>Bajo</v>
      </c>
      <c r="O97" s="92" t="s">
        <v>61</v>
      </c>
      <c r="P97" s="85" t="s">
        <v>39</v>
      </c>
      <c r="Q97" s="109" t="s">
        <v>626</v>
      </c>
      <c r="R97" s="85" t="s">
        <v>176</v>
      </c>
      <c r="S97" s="85" t="s">
        <v>276</v>
      </c>
      <c r="T97" s="85" t="s">
        <v>383</v>
      </c>
    </row>
    <row r="98" spans="1:20" s="37" customFormat="1">
      <c r="A98" s="89">
        <f t="shared" si="7"/>
        <v>89</v>
      </c>
      <c r="B98" s="39" t="s">
        <v>627</v>
      </c>
      <c r="C98" s="106" t="s">
        <v>25</v>
      </c>
      <c r="D98" s="110">
        <v>45148</v>
      </c>
      <c r="E98" s="82" t="str" cm="1">
        <f t="array" ref="E9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8" s="82">
        <f>IF(Tabla1[[#This Row],[Fecha de 
Registro ]]="","",YEAR(Tabla1[[#This Row],[Fecha de 
Registro ]]))</f>
        <v>2023</v>
      </c>
      <c r="G98" s="39" t="s">
        <v>628</v>
      </c>
      <c r="H98" s="17" t="s">
        <v>629</v>
      </c>
      <c r="I98" s="44" t="s">
        <v>631</v>
      </c>
      <c r="J98" s="85" t="s">
        <v>350</v>
      </c>
      <c r="K98" s="106">
        <v>1</v>
      </c>
      <c r="L98" s="106">
        <v>1</v>
      </c>
      <c r="M98" s="106">
        <v>1</v>
      </c>
      <c r="N98" s="160" t="str">
        <f t="shared" si="6"/>
        <v>Bajo</v>
      </c>
      <c r="O98" s="92" t="s">
        <v>61</v>
      </c>
      <c r="P98" s="85" t="s">
        <v>39</v>
      </c>
      <c r="Q98" s="95" t="s">
        <v>627</v>
      </c>
      <c r="R98" s="85" t="s">
        <v>176</v>
      </c>
      <c r="S98" s="85" t="s">
        <v>276</v>
      </c>
      <c r="T98" s="85" t="s">
        <v>383</v>
      </c>
    </row>
    <row r="99" spans="1:20">
      <c r="A99" s="89">
        <f t="shared" si="7"/>
        <v>90</v>
      </c>
      <c r="B99" s="39" t="s">
        <v>635</v>
      </c>
      <c r="C99" s="106" t="s">
        <v>25</v>
      </c>
      <c r="D99" s="110">
        <v>45153</v>
      </c>
      <c r="E99" s="82" t="str" cm="1">
        <f t="array" ref="E9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9" s="82">
        <f>IF(Tabla1[[#This Row],[Fecha de 
Registro ]]="","",YEAR(Tabla1[[#This Row],[Fecha de 
Registro ]]))</f>
        <v>2023</v>
      </c>
      <c r="G99" s="39" t="s">
        <v>638</v>
      </c>
      <c r="H99" s="17" t="s">
        <v>639</v>
      </c>
      <c r="I99" s="44" t="s">
        <v>640</v>
      </c>
      <c r="J99" s="85" t="s">
        <v>350</v>
      </c>
      <c r="K99" s="106">
        <v>1</v>
      </c>
      <c r="L99" s="106">
        <v>1</v>
      </c>
      <c r="M99" s="106">
        <v>1</v>
      </c>
      <c r="N99" s="160" t="str">
        <f t="shared" si="6"/>
        <v>Bajo</v>
      </c>
      <c r="O99" s="92" t="s">
        <v>61</v>
      </c>
      <c r="P99" s="85" t="s">
        <v>39</v>
      </c>
      <c r="Q99" s="95" t="s">
        <v>635</v>
      </c>
      <c r="R99" s="85" t="s">
        <v>176</v>
      </c>
      <c r="S99" s="85" t="s">
        <v>276</v>
      </c>
      <c r="T99" s="85" t="s">
        <v>382</v>
      </c>
    </row>
    <row r="100" spans="1:20">
      <c r="A100" s="89">
        <f t="shared" si="7"/>
        <v>91</v>
      </c>
      <c r="B100" s="39" t="s">
        <v>636</v>
      </c>
      <c r="C100" s="106" t="s">
        <v>25</v>
      </c>
      <c r="D100" s="110">
        <v>45153</v>
      </c>
      <c r="E100" s="82" t="str" cm="1">
        <f t="array" ref="E10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0" s="82">
        <f>IF(Tabla1[[#This Row],[Fecha de 
Registro ]]="","",YEAR(Tabla1[[#This Row],[Fecha de 
Registro ]]))</f>
        <v>2023</v>
      </c>
      <c r="G100" s="39" t="s">
        <v>637</v>
      </c>
      <c r="H100" s="17" t="s">
        <v>79</v>
      </c>
      <c r="I100" s="44" t="s">
        <v>641</v>
      </c>
      <c r="J100" s="85" t="s">
        <v>350</v>
      </c>
      <c r="K100" s="106">
        <v>1</v>
      </c>
      <c r="L100" s="106">
        <v>1</v>
      </c>
      <c r="M100" s="106">
        <v>1</v>
      </c>
      <c r="N100" s="160" t="str">
        <f t="shared" si="6"/>
        <v>Bajo</v>
      </c>
      <c r="O100" s="92" t="s">
        <v>61</v>
      </c>
      <c r="P100" s="85" t="s">
        <v>39</v>
      </c>
      <c r="Q100" s="95" t="s">
        <v>636</v>
      </c>
      <c r="R100" s="85" t="s">
        <v>177</v>
      </c>
      <c r="S100" s="85" t="s">
        <v>276</v>
      </c>
      <c r="T100" s="85" t="s">
        <v>382</v>
      </c>
    </row>
    <row r="101" spans="1:20">
      <c r="A101" s="39">
        <f t="shared" si="7"/>
        <v>92</v>
      </c>
      <c r="B101" s="39" t="s">
        <v>649</v>
      </c>
      <c r="C101" s="82" t="s">
        <v>25</v>
      </c>
      <c r="D101" s="83">
        <v>45159</v>
      </c>
      <c r="E101" s="82" t="str" cm="1">
        <f t="array" ref="E10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1" s="82">
        <f>IF(Tabla1[[#This Row],[Fecha de 
Registro ]]="","",YEAR(Tabla1[[#This Row],[Fecha de 
Registro ]]))</f>
        <v>2023</v>
      </c>
      <c r="G101" s="39" t="s">
        <v>650</v>
      </c>
      <c r="H101" s="17" t="s">
        <v>651</v>
      </c>
      <c r="I101" s="44" t="s">
        <v>652</v>
      </c>
      <c r="J101" s="39" t="s">
        <v>350</v>
      </c>
      <c r="K101" s="82">
        <v>1</v>
      </c>
      <c r="L101" s="82">
        <v>1</v>
      </c>
      <c r="M101" s="106">
        <v>1</v>
      </c>
      <c r="N101" s="91" t="str">
        <f t="shared" si="6"/>
        <v>Bajo</v>
      </c>
      <c r="O101" s="92" t="s">
        <v>61</v>
      </c>
      <c r="P101" s="39" t="s">
        <v>39</v>
      </c>
      <c r="Q101" s="95" t="s">
        <v>649</v>
      </c>
      <c r="R101" s="39" t="s">
        <v>176</v>
      </c>
      <c r="S101" s="39" t="s">
        <v>276</v>
      </c>
      <c r="T101" s="39" t="s">
        <v>382</v>
      </c>
    </row>
    <row r="102" spans="1:20" s="37" customFormat="1">
      <c r="A102" s="39">
        <f t="shared" si="7"/>
        <v>93</v>
      </c>
      <c r="B102" s="39" t="s">
        <v>660</v>
      </c>
      <c r="C102" s="82" t="s">
        <v>24</v>
      </c>
      <c r="D102" s="83">
        <v>45199</v>
      </c>
      <c r="E102" s="82" t="str" cm="1">
        <f t="array" ref="E10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2" s="82">
        <f>IF(Tabla1[[#This Row],[Fecha de 
Registro ]]="","",YEAR(Tabla1[[#This Row],[Fecha de 
Registro ]]))</f>
        <v>2023</v>
      </c>
      <c r="G102" s="39" t="s">
        <v>410</v>
      </c>
      <c r="H102" s="17" t="s">
        <v>79</v>
      </c>
      <c r="I102" s="17" t="s">
        <v>409</v>
      </c>
      <c r="J102" s="39" t="s">
        <v>661</v>
      </c>
      <c r="K102" s="82">
        <v>3</v>
      </c>
      <c r="L102" s="82">
        <v>2</v>
      </c>
      <c r="M102" s="82">
        <f>K102*L102</f>
        <v>6</v>
      </c>
      <c r="N102" s="91" t="str">
        <f t="shared" si="6"/>
        <v>Alto</v>
      </c>
      <c r="O102" s="92" t="s">
        <v>61</v>
      </c>
      <c r="P102" s="39" t="s">
        <v>101</v>
      </c>
      <c r="Q102" s="95" t="s">
        <v>660</v>
      </c>
      <c r="R102" s="39" t="s">
        <v>179</v>
      </c>
      <c r="S102" s="39" t="s">
        <v>172</v>
      </c>
      <c r="T102" s="39" t="s">
        <v>79</v>
      </c>
    </row>
    <row r="103" spans="1:20" s="37" customFormat="1">
      <c r="A103" s="102">
        <f t="shared" si="7"/>
        <v>94</v>
      </c>
      <c r="B103" s="187" t="s">
        <v>653</v>
      </c>
      <c r="C103" s="188" t="s">
        <v>25</v>
      </c>
      <c r="D103" s="189">
        <v>45176</v>
      </c>
      <c r="E103" s="188" t="str" cm="1">
        <f t="array" ref="E10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3" s="188">
        <f>IF(Tabla1[[#This Row],[Fecha de 
Registro ]]="","",YEAR(Tabla1[[#This Row],[Fecha de 
Registro ]]))</f>
        <v>2023</v>
      </c>
      <c r="G103" s="187" t="s">
        <v>656</v>
      </c>
      <c r="H103" s="178" t="s">
        <v>655</v>
      </c>
      <c r="I103" s="186" t="s">
        <v>654</v>
      </c>
      <c r="J103" s="187" t="s">
        <v>350</v>
      </c>
      <c r="K103" s="188">
        <v>1</v>
      </c>
      <c r="L103" s="188">
        <v>1</v>
      </c>
      <c r="M103" s="82">
        <f t="shared" ref="M103:M107" si="8">K103*L103</f>
        <v>1</v>
      </c>
      <c r="N103" s="190" t="str">
        <f t="shared" si="6"/>
        <v>Bajo</v>
      </c>
      <c r="O103" s="191" t="s">
        <v>61</v>
      </c>
      <c r="P103" s="187" t="s">
        <v>39</v>
      </c>
      <c r="Q103" s="192" t="s">
        <v>653</v>
      </c>
      <c r="R103" s="39" t="s">
        <v>176</v>
      </c>
      <c r="S103" s="39" t="s">
        <v>276</v>
      </c>
      <c r="T103" s="39" t="s">
        <v>383</v>
      </c>
    </row>
    <row r="104" spans="1:20">
      <c r="A104" s="39">
        <f t="shared" si="7"/>
        <v>95</v>
      </c>
      <c r="B104" s="39" t="s">
        <v>657</v>
      </c>
      <c r="C104" s="82" t="s">
        <v>25</v>
      </c>
      <c r="D104" s="83">
        <v>45177</v>
      </c>
      <c r="E104" s="82" t="str" cm="1">
        <f t="array" ref="E10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4" s="82">
        <f>IF(Tabla1[[#This Row],[Fecha de 
Registro ]]="","",YEAR(Tabla1[[#This Row],[Fecha de 
Registro ]]))</f>
        <v>2023</v>
      </c>
      <c r="G104" s="39" t="s">
        <v>656</v>
      </c>
      <c r="H104" s="17" t="s">
        <v>658</v>
      </c>
      <c r="I104" s="44" t="s">
        <v>659</v>
      </c>
      <c r="J104" s="39" t="s">
        <v>350</v>
      </c>
      <c r="K104" s="82">
        <v>1</v>
      </c>
      <c r="L104" s="82">
        <v>1</v>
      </c>
      <c r="M104" s="82">
        <f t="shared" si="8"/>
        <v>1</v>
      </c>
      <c r="N104" s="91" t="str">
        <f t="shared" si="6"/>
        <v>Bajo</v>
      </c>
      <c r="O104" s="92" t="s">
        <v>61</v>
      </c>
      <c r="P104" s="39" t="s">
        <v>39</v>
      </c>
      <c r="Q104" s="95" t="s">
        <v>657</v>
      </c>
      <c r="R104" s="39" t="s">
        <v>177</v>
      </c>
      <c r="S104" s="39" t="s">
        <v>276</v>
      </c>
      <c r="T104" s="39" t="s">
        <v>383</v>
      </c>
    </row>
    <row r="105" spans="1:20">
      <c r="A105" s="39">
        <f t="shared" si="7"/>
        <v>96</v>
      </c>
      <c r="B105" s="39" t="s">
        <v>664</v>
      </c>
      <c r="C105" s="82" t="s">
        <v>24</v>
      </c>
      <c r="D105" s="83">
        <v>45188</v>
      </c>
      <c r="E105" s="82" t="str" cm="1">
        <f t="array" ref="E10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5" s="82">
        <f>IF(Tabla1[[#This Row],[Fecha de 
Registro ]]="","",YEAR(Tabla1[[#This Row],[Fecha de 
Registro ]]))</f>
        <v>2023</v>
      </c>
      <c r="G105" s="39" t="s">
        <v>410</v>
      </c>
      <c r="H105" s="17" t="s">
        <v>409</v>
      </c>
      <c r="I105" s="44" t="s">
        <v>409</v>
      </c>
      <c r="J105" s="39" t="s">
        <v>338</v>
      </c>
      <c r="K105" s="82">
        <v>3</v>
      </c>
      <c r="L105" s="82">
        <v>3</v>
      </c>
      <c r="M105" s="82">
        <f t="shared" si="8"/>
        <v>9</v>
      </c>
      <c r="N105" s="91" t="str">
        <f t="shared" si="6"/>
        <v>Alto</v>
      </c>
      <c r="O105" s="92" t="s">
        <v>96</v>
      </c>
      <c r="P105" s="39" t="s">
        <v>101</v>
      </c>
      <c r="Q105" s="95" t="s">
        <v>664</v>
      </c>
      <c r="R105" s="187" t="s">
        <v>176</v>
      </c>
      <c r="S105" s="39" t="s">
        <v>172</v>
      </c>
      <c r="T105" s="39" t="s">
        <v>79</v>
      </c>
    </row>
    <row r="106" spans="1:20">
      <c r="A106" s="39">
        <f t="shared" ref="A106:A107" si="9">ROW(G106)-ROW($G$9)</f>
        <v>97</v>
      </c>
      <c r="B106" s="39" t="s">
        <v>669</v>
      </c>
      <c r="C106" s="188" t="s">
        <v>25</v>
      </c>
      <c r="D106" s="83">
        <v>45190</v>
      </c>
      <c r="E106" s="82" t="str" cm="1">
        <f t="array" ref="E10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6" s="82">
        <f>IF(Tabla1[[#This Row],[Fecha de 
Registro ]]="","",YEAR(Tabla1[[#This Row],[Fecha de 
Registro ]]))</f>
        <v>2023</v>
      </c>
      <c r="G106" s="39" t="s">
        <v>671</v>
      </c>
      <c r="H106" s="17" t="s">
        <v>673</v>
      </c>
      <c r="I106" s="44" t="s">
        <v>672</v>
      </c>
      <c r="J106" s="85" t="s">
        <v>350</v>
      </c>
      <c r="K106" s="82">
        <v>1</v>
      </c>
      <c r="L106" s="82">
        <v>1</v>
      </c>
      <c r="M106" s="82">
        <f t="shared" si="8"/>
        <v>1</v>
      </c>
      <c r="N106" s="91" t="str">
        <f t="shared" si="6"/>
        <v>Bajo</v>
      </c>
      <c r="O106" s="92" t="s">
        <v>61</v>
      </c>
      <c r="P106" s="85" t="s">
        <v>39</v>
      </c>
      <c r="Q106" s="95" t="s">
        <v>669</v>
      </c>
      <c r="R106" s="39" t="s">
        <v>176</v>
      </c>
      <c r="S106" s="39" t="s">
        <v>276</v>
      </c>
      <c r="T106" s="39" t="s">
        <v>382</v>
      </c>
    </row>
    <row r="107" spans="1:20">
      <c r="A107" s="39">
        <f t="shared" si="9"/>
        <v>98</v>
      </c>
      <c r="B107" s="39" t="s">
        <v>670</v>
      </c>
      <c r="C107" s="82" t="s">
        <v>25</v>
      </c>
      <c r="D107" s="83">
        <v>45191</v>
      </c>
      <c r="E107" s="82" t="str" cm="1">
        <f t="array" ref="E10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7" s="82">
        <f>IF(Tabla1[[#This Row],[Fecha de 
Registro ]]="","",YEAR(Tabla1[[#This Row],[Fecha de 
Registro ]]))</f>
        <v>2023</v>
      </c>
      <c r="G107" s="39" t="s">
        <v>675</v>
      </c>
      <c r="H107" s="17" t="s">
        <v>676</v>
      </c>
      <c r="I107" s="44" t="s">
        <v>674</v>
      </c>
      <c r="J107" s="39" t="s">
        <v>350</v>
      </c>
      <c r="K107" s="82">
        <v>1</v>
      </c>
      <c r="L107" s="82">
        <v>1</v>
      </c>
      <c r="M107" s="82">
        <f t="shared" si="8"/>
        <v>1</v>
      </c>
      <c r="N107" s="91" t="str">
        <f t="shared" si="6"/>
        <v>Bajo</v>
      </c>
      <c r="O107" s="92" t="s">
        <v>61</v>
      </c>
      <c r="P107" s="39" t="s">
        <v>39</v>
      </c>
      <c r="Q107" s="95" t="s">
        <v>670</v>
      </c>
      <c r="R107" s="39" t="s">
        <v>176</v>
      </c>
      <c r="S107" s="39" t="s">
        <v>276</v>
      </c>
      <c r="T107" s="39" t="s">
        <v>383</v>
      </c>
    </row>
    <row r="108" spans="1:20">
      <c r="A108" s="39">
        <f t="shared" ref="A108:A109" si="10">ROW(G108)-ROW($G$9)</f>
        <v>99</v>
      </c>
      <c r="B108" s="39" t="s">
        <v>694</v>
      </c>
      <c r="C108" s="82" t="s">
        <v>25</v>
      </c>
      <c r="D108" s="83">
        <v>45194</v>
      </c>
      <c r="E108" s="82" t="str" cm="1">
        <f t="array" ref="E10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8" s="82">
        <f>IF(Tabla1[[#This Row],[Fecha de 
Registro ]]="","",YEAR(Tabla1[[#This Row],[Fecha de 
Registro ]]))</f>
        <v>2023</v>
      </c>
      <c r="G108" s="39" t="s">
        <v>704</v>
      </c>
      <c r="H108" s="17" t="s">
        <v>702</v>
      </c>
      <c r="I108" s="44" t="s">
        <v>701</v>
      </c>
      <c r="J108" s="39" t="s">
        <v>350</v>
      </c>
      <c r="K108" s="82">
        <v>1</v>
      </c>
      <c r="L108" s="82">
        <v>1</v>
      </c>
      <c r="M108" s="82">
        <f t="shared" ref="M108:M109" si="11">K108*L108</f>
        <v>1</v>
      </c>
      <c r="N108" s="91" t="str">
        <f t="shared" ref="N108:N109" si="12">IF(M108=1,"Bajo",IF(M108=2,"Bajo",IF(M108=3,"Medio",IF(M108=4,"Medio",IF(M108=6,"Alto",IF(M108=9,"Alto"))))))</f>
        <v>Bajo</v>
      </c>
      <c r="O108" s="92" t="s">
        <v>61</v>
      </c>
      <c r="P108" s="39" t="s">
        <v>39</v>
      </c>
      <c r="Q108" s="95" t="s">
        <v>694</v>
      </c>
      <c r="R108" s="39" t="s">
        <v>176</v>
      </c>
      <c r="S108" s="39" t="s">
        <v>276</v>
      </c>
      <c r="T108" s="39" t="s">
        <v>383</v>
      </c>
    </row>
    <row r="109" spans="1:20">
      <c r="A109" s="39">
        <f t="shared" si="10"/>
        <v>100</v>
      </c>
      <c r="B109" s="39" t="s">
        <v>705</v>
      </c>
      <c r="C109" s="82" t="s">
        <v>25</v>
      </c>
      <c r="D109" s="83">
        <v>45194</v>
      </c>
      <c r="E109" s="82" t="str" cm="1">
        <f t="array" ref="E10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9" s="82">
        <f>IF(Tabla1[[#This Row],[Fecha de 
Registro ]]="","",YEAR(Tabla1[[#This Row],[Fecha de 
Registro ]]))</f>
        <v>2023</v>
      </c>
      <c r="G109" s="39" t="s">
        <v>700</v>
      </c>
      <c r="H109" s="17" t="s">
        <v>703</v>
      </c>
      <c r="I109" s="44" t="s">
        <v>711</v>
      </c>
      <c r="J109" s="39" t="s">
        <v>350</v>
      </c>
      <c r="K109" s="82">
        <v>1</v>
      </c>
      <c r="L109" s="82">
        <v>1</v>
      </c>
      <c r="M109" s="82">
        <f t="shared" si="11"/>
        <v>1</v>
      </c>
      <c r="N109" s="91" t="str">
        <f t="shared" si="12"/>
        <v>Bajo</v>
      </c>
      <c r="O109" s="92" t="s">
        <v>61</v>
      </c>
      <c r="P109" s="39" t="s">
        <v>39</v>
      </c>
      <c r="Q109" s="95" t="s">
        <v>705</v>
      </c>
      <c r="R109" s="39" t="s">
        <v>176</v>
      </c>
      <c r="S109" s="39" t="s">
        <v>276</v>
      </c>
      <c r="T109" s="39" t="s">
        <v>382</v>
      </c>
    </row>
    <row r="110" spans="1:20">
      <c r="A110" s="39">
        <f t="shared" ref="A110" si="13">ROW(G110)-ROW($G$9)</f>
        <v>101</v>
      </c>
      <c r="B110" s="39" t="s">
        <v>695</v>
      </c>
      <c r="C110" s="82" t="s">
        <v>25</v>
      </c>
      <c r="D110" s="83">
        <v>45196</v>
      </c>
      <c r="E110" s="82" t="str" cm="1">
        <f t="array" ref="E1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10" s="82">
        <f>IF(Tabla1[[#This Row],[Fecha de 
Registro ]]="","",YEAR(Tabla1[[#This Row],[Fecha de 
Registro ]]))</f>
        <v>2023</v>
      </c>
      <c r="G110" s="39" t="s">
        <v>696</v>
      </c>
      <c r="H110" s="17" t="s">
        <v>697</v>
      </c>
      <c r="I110" s="44" t="s">
        <v>698</v>
      </c>
      <c r="J110" s="39" t="s">
        <v>683</v>
      </c>
      <c r="K110" s="82">
        <v>1</v>
      </c>
      <c r="L110" s="82">
        <v>1</v>
      </c>
      <c r="M110" s="82">
        <f t="shared" ref="M110" si="14">K110*L110</f>
        <v>1</v>
      </c>
      <c r="N110" s="91" t="str">
        <f t="shared" ref="N110" si="15">IF(M110=1,"Bajo",IF(M110=2,"Bajo",IF(M110=3,"Medio",IF(M110=4,"Medio",IF(M110=6,"Alto",IF(M110=9,"Alto"))))))</f>
        <v>Bajo</v>
      </c>
      <c r="O110" s="92" t="s">
        <v>61</v>
      </c>
      <c r="P110" s="39" t="s">
        <v>39</v>
      </c>
      <c r="Q110" s="95" t="s">
        <v>695</v>
      </c>
      <c r="R110" s="39" t="s">
        <v>176</v>
      </c>
      <c r="S110" s="39" t="s">
        <v>276</v>
      </c>
      <c r="T110" s="39" t="s">
        <v>382</v>
      </c>
    </row>
    <row r="111" spans="1:20">
      <c r="A111" s="37"/>
      <c r="B111" s="37"/>
      <c r="C111" s="112"/>
      <c r="D111" s="177"/>
      <c r="E111" s="112"/>
      <c r="F111" s="112"/>
      <c r="G111" s="37"/>
      <c r="H111" s="178"/>
      <c r="I111" s="103"/>
      <c r="J111" s="37"/>
      <c r="K111" s="112"/>
      <c r="L111" s="112"/>
      <c r="M111" s="112"/>
      <c r="N111" s="179"/>
      <c r="O111" s="180"/>
      <c r="P111" s="37"/>
      <c r="Q111" s="101"/>
      <c r="R111" s="37"/>
      <c r="S111" s="37"/>
      <c r="T111" s="37"/>
    </row>
    <row r="112" spans="1:20">
      <c r="A112" s="37"/>
      <c r="B112" s="37"/>
      <c r="C112" s="112"/>
      <c r="D112" s="177"/>
      <c r="E112" s="112"/>
      <c r="F112" s="112"/>
      <c r="G112" s="37"/>
      <c r="H112" s="178"/>
      <c r="I112" s="103"/>
      <c r="J112" s="37"/>
      <c r="K112" s="112"/>
      <c r="L112" s="112"/>
      <c r="M112" s="112"/>
      <c r="N112" s="179"/>
      <c r="O112" s="180"/>
      <c r="P112" s="37"/>
      <c r="Q112" s="101"/>
      <c r="R112" s="37"/>
      <c r="S112" s="37"/>
      <c r="T112" s="37"/>
    </row>
  </sheetData>
  <mergeCells count="1">
    <mergeCell ref="A2:Q7"/>
  </mergeCells>
  <phoneticPr fontId="9" type="noConversion"/>
  <conditionalFormatting sqref="A112">
    <cfRule type="duplicateValues" dxfId="34" priority="1"/>
  </conditionalFormatting>
  <conditionalFormatting sqref="B112:B1048576 B1:B88 B90:B91">
    <cfRule type="duplicateValues" dxfId="33" priority="17"/>
  </conditionalFormatting>
  <conditionalFormatting sqref="G112:G1048576 G1:G88 G90:G91">
    <cfRule type="duplicateValues" dxfId="32" priority="16"/>
  </conditionalFormatting>
  <conditionalFormatting sqref="K10:K112">
    <cfRule type="cellIs" dxfId="31" priority="37" operator="equal">
      <formula>3</formula>
    </cfRule>
    <cfRule type="cellIs" dxfId="30" priority="38" operator="equal">
      <formula>2</formula>
    </cfRule>
  </conditionalFormatting>
  <conditionalFormatting sqref="K10:L112">
    <cfRule type="cellIs" dxfId="29" priority="36" operator="equal">
      <formula>1</formula>
    </cfRule>
  </conditionalFormatting>
  <conditionalFormatting sqref="L10:L112">
    <cfRule type="cellIs" dxfId="28" priority="34" operator="equal">
      <formula>3</formula>
    </cfRule>
    <cfRule type="cellIs" dxfId="27" priority="35" operator="equal">
      <formula>2</formula>
    </cfRule>
  </conditionalFormatting>
  <conditionalFormatting sqref="M10:M45 M59 M80:M81">
    <cfRule type="cellIs" dxfId="26" priority="28" operator="between">
      <formula>3</formula>
      <formula>4</formula>
    </cfRule>
    <cfRule type="cellIs" dxfId="25" priority="29" operator="between">
      <formula>1</formula>
      <formula>2</formula>
    </cfRule>
  </conditionalFormatting>
  <conditionalFormatting sqref="M10:M112">
    <cfRule type="cellIs" dxfId="24" priority="5" operator="between">
      <formula>6</formula>
      <formula>10</formula>
    </cfRule>
    <cfRule type="cellIs" dxfId="23" priority="6" operator="between">
      <formula>3</formula>
      <formula>4</formula>
    </cfRule>
    <cfRule type="cellIs" dxfId="22" priority="8" operator="between">
      <formula>6</formula>
      <formula>9</formula>
    </cfRule>
  </conditionalFormatting>
  <conditionalFormatting sqref="M46:M60">
    <cfRule type="cellIs" dxfId="21" priority="7" operator="between">
      <formula>1</formula>
      <formula>2</formula>
    </cfRule>
  </conditionalFormatting>
  <conditionalFormatting sqref="M59 M10:M45 M80:M81">
    <cfRule type="cellIs" dxfId="20" priority="27" operator="between">
      <formula>6</formula>
      <formula>10</formula>
    </cfRule>
  </conditionalFormatting>
  <conditionalFormatting sqref="M61:M76 M78:M81 M83:M112">
    <cfRule type="cellIs" dxfId="19" priority="20" operator="equal">
      <formula>3</formula>
    </cfRule>
  </conditionalFormatting>
  <conditionalFormatting sqref="M61:M112">
    <cfRule type="cellIs" dxfId="18" priority="9" operator="equal">
      <formula>2</formula>
    </cfRule>
    <cfRule type="cellIs" dxfId="17" priority="10" operator="equal">
      <formula>1</formula>
    </cfRule>
  </conditionalFormatting>
  <conditionalFormatting sqref="N10:N112">
    <cfRule type="cellIs" dxfId="16" priority="30" operator="equal">
      <formula>"Alto"</formula>
    </cfRule>
    <cfRule type="cellIs" dxfId="15" priority="31" operator="equal">
      <formula>"Medio"</formula>
    </cfRule>
    <cfRule type="cellIs" dxfId="14" priority="32" operator="equal">
      <formula>"Bajo"</formula>
    </cfRule>
    <cfRule type="cellIs" dxfId="13" priority="33" stopIfTrue="1" operator="equal">
      <formula>"Bajo "</formula>
    </cfRule>
  </conditionalFormatting>
  <conditionalFormatting sqref="O10">
    <cfRule type="colorScale" priority="26">
      <colorScale>
        <cfvo type="min"/>
        <cfvo type="percentile" val="50"/>
        <cfvo type="max"/>
        <color rgb="FFC00000"/>
        <color rgb="FF0070C0"/>
        <color rgb="FF00B050"/>
      </colorScale>
    </cfRule>
  </conditionalFormatting>
  <conditionalFormatting sqref="O10:O112">
    <cfRule type="cellIs" dxfId="12" priority="18" operator="equal">
      <formula>"Cerrado"</formula>
    </cfRule>
  </conditionalFormatting>
  <conditionalFormatting sqref="O20:O28 O30:O112">
    <cfRule type="cellIs" dxfId="11" priority="24" operator="equal">
      <formula>"Abierto "</formula>
    </cfRule>
  </conditionalFormatting>
  <conditionalFormatting sqref="O23:O28 O32:O112">
    <cfRule type="cellIs" dxfId="10" priority="23" operator="equal">
      <formula>"En ejecución"</formula>
    </cfRule>
  </conditionalFormatting>
  <conditionalFormatting sqref="O30">
    <cfRule type="cellIs" dxfId="9" priority="19" operator="equal">
      <formula>"En ejecución"</formula>
    </cfRule>
  </conditionalFormatting>
  <conditionalFormatting sqref="Q59">
    <cfRule type="duplicateValues" dxfId="8" priority="2"/>
  </conditionalFormatting>
  <conditionalFormatting sqref="Q63:Q76">
    <cfRule type="duplicateValues" dxfId="7" priority="15"/>
  </conditionalFormatting>
  <conditionalFormatting sqref="Q78:Q79 Q82:Q85">
    <cfRule type="duplicateValues" dxfId="6" priority="14"/>
  </conditionalFormatting>
  <conditionalFormatting sqref="Q80:Q81">
    <cfRule type="duplicateValues" dxfId="5" priority="3"/>
  </conditionalFormatting>
  <conditionalFormatting sqref="Q88:Q89">
    <cfRule type="duplicateValues" dxfId="4" priority="86"/>
  </conditionalFormatting>
  <hyperlinks>
    <hyperlink ref="I11" r:id="rId1" xr:uid="{75484E12-15D2-4A46-B92A-86755CC5B51E}"/>
    <hyperlink ref="I14" r:id="rId2" xr:uid="{B33CD74C-C009-48DD-8A65-DCFFA04DB050}"/>
    <hyperlink ref="I15" r:id="rId3" xr:uid="{1D69B71A-7EE7-44C4-96F1-926BA7FC289B}"/>
    <hyperlink ref="I17" r:id="rId4" xr:uid="{C187BC61-7CD6-4CA4-9AC1-4684CED00D68}"/>
    <hyperlink ref="I18" r:id="rId5" xr:uid="{368A7EDB-B958-4C8C-9435-339B6C5425C9}"/>
    <hyperlink ref="I19" r:id="rId6" xr:uid="{8D07F995-1208-4391-9B01-6A81B1E8DE38}"/>
    <hyperlink ref="I16" r:id="rId7" xr:uid="{8962A1A4-C227-4BF7-AED6-788853670C48}"/>
    <hyperlink ref="Q11" r:id="rId8" xr:uid="{C536E9F6-86CB-40EA-8AC7-815A46EF58DA}"/>
    <hyperlink ref="Q18" r:id="rId9" xr:uid="{DC9C7F5E-31A4-42FD-AED7-886492FE4DDF}"/>
    <hyperlink ref="Q17" r:id="rId10" xr:uid="{D866CB94-2483-4447-ADE6-09F1BB5A59ED}"/>
    <hyperlink ref="Q13" r:id="rId11" xr:uid="{588F0BF7-51AD-4A4F-8A9E-74E0258AA965}"/>
    <hyperlink ref="Q14" r:id="rId12" xr:uid="{477C9C14-088B-4E67-9092-AA62C08BD9D8}"/>
    <hyperlink ref="Q10" r:id="rId13" xr:uid="{2526D634-96AF-4545-97D8-FBAE246F6601}"/>
    <hyperlink ref="Q12" r:id="rId14" xr:uid="{3477FA68-E20F-4AD8-AE7A-D17108DE9192}"/>
    <hyperlink ref="Q15" r:id="rId15" xr:uid="{B3096109-5356-4416-86AF-9224DC19852E}"/>
    <hyperlink ref="Q16" r:id="rId16" xr:uid="{A9AB882E-F582-4388-A94B-EE818879DDB5}"/>
    <hyperlink ref="I20" r:id="rId17" xr:uid="{0DF86AD4-7DEB-4C21-9636-5A45E6806AAA}"/>
    <hyperlink ref="Q19" r:id="rId18" xr:uid="{E48A924F-E6C7-4C8F-96C9-E1E1EA4CCC65}"/>
    <hyperlink ref="Q20" r:id="rId19" xr:uid="{4F41A16F-50C2-4140-9A07-FF108477A29F}"/>
    <hyperlink ref="I21" r:id="rId20" xr:uid="{CFEDDC1F-A16E-4704-81C5-191ECE171A3F}"/>
    <hyperlink ref="Q21" r:id="rId21" xr:uid="{893105FA-3D1A-488B-B924-44BEAFF7CF4F}"/>
    <hyperlink ref="I22" r:id="rId22" xr:uid="{E9603277-8E98-4BF1-B388-28F43BDE7EB3}"/>
    <hyperlink ref="Q22" r:id="rId23" xr:uid="{04D923E2-2FC2-4FB5-88D1-76763C172092}"/>
    <hyperlink ref="I23" r:id="rId24" xr:uid="{ECEA2EEE-C9AB-4920-8C2D-877FDF5E7F0C}"/>
    <hyperlink ref="I24" r:id="rId25" xr:uid="{5AAD1D18-2575-4B4D-8510-CFB3DBA7AA98}"/>
    <hyperlink ref="I25" r:id="rId26" xr:uid="{CC468340-20B4-4699-B59D-A15B0F382894}"/>
    <hyperlink ref="Q23" r:id="rId27" xr:uid="{387AE5E3-0A78-40F0-8C91-06973CB34444}"/>
    <hyperlink ref="Q24" r:id="rId28" xr:uid="{7822CE57-6C84-4904-90C1-2E504C90CE85}"/>
    <hyperlink ref="Q25" r:id="rId29" xr:uid="{279ACC8D-1053-4CBE-9424-F429B7DB4554}"/>
    <hyperlink ref="I27" r:id="rId30" xr:uid="{DB5ED25B-8089-4114-9DCC-608991601DBD}"/>
    <hyperlink ref="Q27" r:id="rId31" xr:uid="{FE5753A8-CD24-4787-AB5C-DBC67B43CAFA}"/>
    <hyperlink ref="Q26" r:id="rId32" xr:uid="{939F4C4C-A629-42E4-9487-ED8604D09512}"/>
    <hyperlink ref="Q28" r:id="rId33" xr:uid="{50E63F83-1CAE-4E99-8D7E-0390737D0B00}"/>
    <hyperlink ref="I29" r:id="rId34" xr:uid="{F9ADB351-B0DC-465B-ABFD-49B545808516}"/>
    <hyperlink ref="Q29" r:id="rId35" xr:uid="{BF5B7B32-48A7-40F0-A960-7DF9B82012DC}"/>
    <hyperlink ref="I30" r:id="rId36" xr:uid="{08CD9366-7577-49C0-8994-1563F75C9D8F}"/>
    <hyperlink ref="Q30" r:id="rId37" xr:uid="{432716EF-70FF-4FB2-BC62-1C46C0AF8E4A}"/>
    <hyperlink ref="I31" r:id="rId38" xr:uid="{79DB06A2-4FD2-48C6-8728-C9C0110A2D35}"/>
    <hyperlink ref="Q31" r:id="rId39" xr:uid="{48BA78ED-A02F-49E6-A0C5-F0CB2270133D}"/>
    <hyperlink ref="I32" r:id="rId40" xr:uid="{ED796A8C-52C8-414B-8AE5-2BF4D1190491}"/>
    <hyperlink ref="I33" r:id="rId41" xr:uid="{BA0F7BEC-DC1D-40FE-AAAB-F54EB9A05730}"/>
    <hyperlink ref="I35" r:id="rId42" xr:uid="{66E72CA6-886B-4B92-80E6-A77954F7A0D3}"/>
    <hyperlink ref="Q35" r:id="rId43" xr:uid="{812DA58E-5065-49FD-A295-C313256EDB82}"/>
    <hyperlink ref="I34" r:id="rId44" xr:uid="{315A9EA7-FB38-4F7A-BCC1-9460B8405E93}"/>
    <hyperlink ref="I37" r:id="rId45" xr:uid="{A8F4CE55-C32B-4A3A-9DBA-CC0580822B74}"/>
    <hyperlink ref="I38" r:id="rId46" xr:uid="{E472EACE-FA24-42AE-A6EC-6EFB8CCA3135}"/>
    <hyperlink ref="I39" r:id="rId47" xr:uid="{F9D151F9-A19D-45D7-B6EE-F70AAD4619A5}"/>
    <hyperlink ref="Q39" r:id="rId48" xr:uid="{E061DF1E-F599-44A3-9EDE-B640C10B6C8C}"/>
    <hyperlink ref="Q38" r:id="rId49" xr:uid="{9A25F129-C0CC-4BEF-ADFE-B839BB603B88}"/>
    <hyperlink ref="Q37" r:id="rId50" xr:uid="{5B7B69FC-F7A9-443B-BB94-CD5CE2B99036}"/>
    <hyperlink ref="Q34" r:id="rId51" xr:uid="{81BF654F-6FC7-41CA-925A-8946252CEF78}"/>
    <hyperlink ref="I40" r:id="rId52" xr:uid="{943AEAAB-6D93-462D-8DD5-D94C1424799C}"/>
    <hyperlink ref="Q40" r:id="rId53" xr:uid="{3AF39331-DFC0-4B03-A8FE-32157838929C}"/>
    <hyperlink ref="Q32" r:id="rId54" xr:uid="{077349D4-266E-4CCD-B04B-B4C913DD4C45}"/>
    <hyperlink ref="Q33" r:id="rId55" xr:uid="{6AF03662-9818-4D9B-B3BF-6602A14EC321}"/>
    <hyperlink ref="I41" r:id="rId56" xr:uid="{4DBD5419-1927-4295-BA00-4D780F0EA401}"/>
    <hyperlink ref="I42" r:id="rId57" xr:uid="{711CF759-6841-4E65-85BE-4BCBC350A003}"/>
    <hyperlink ref="Q41" r:id="rId58" xr:uid="{9079D1DD-2DC8-42C8-888F-9AE79F592275}"/>
    <hyperlink ref="Q42" r:id="rId59" xr:uid="{7E53F5C9-69DB-4DE2-B1DB-EF68D8FF3E22}"/>
    <hyperlink ref="I43" r:id="rId60" xr:uid="{D5FAA1AC-9509-47AD-958D-E128914C43F2}"/>
    <hyperlink ref="Q43" r:id="rId61" xr:uid="{FD857A39-1BF0-4B7D-A0D6-158A3D5D86D8}"/>
    <hyperlink ref="I44" r:id="rId62" xr:uid="{C5751F82-8DE3-4B9A-9AAA-41A77F0D5270}"/>
    <hyperlink ref="Q44" r:id="rId63" xr:uid="{97F0FF50-26B2-4957-A36E-693E1D1C5EEA}"/>
    <hyperlink ref="I45" r:id="rId64" xr:uid="{76CF4197-4398-4B9E-9A4F-D9588AFF1078}"/>
    <hyperlink ref="I46" r:id="rId65" xr:uid="{EB4BCCB5-1D0F-487F-AA8F-43001A3D4774}"/>
    <hyperlink ref="I47" r:id="rId66" xr:uid="{24644544-AA2E-43EC-9FC8-C7CB664033BA}"/>
    <hyperlink ref="I48" r:id="rId67" xr:uid="{0DBCDFB9-A16D-4C9B-9802-938109221F61}"/>
    <hyperlink ref="Q48" r:id="rId68" xr:uid="{A975DDCD-6B76-4676-8F75-03686A23C526}"/>
    <hyperlink ref="Q47" r:id="rId69" xr:uid="{8EEBC0D9-FCF6-4D76-8CD3-69276E82D6B5}"/>
    <hyperlink ref="Q46" r:id="rId70" xr:uid="{BF5F0D05-EB3C-4F3E-BE46-7BA961C8CCEE}"/>
    <hyperlink ref="Q45" r:id="rId71" xr:uid="{5B331043-16DC-42B2-98F7-CFEC1637D106}"/>
    <hyperlink ref="I49" r:id="rId72" xr:uid="{FCC7CDCF-58ED-4C24-BA7B-2B1F046FC20B}"/>
    <hyperlink ref="I50" r:id="rId73" xr:uid="{AA550114-F6D3-46E9-B6B2-1C3C32A2E399}"/>
    <hyperlink ref="Q50" r:id="rId74" xr:uid="{A0FD6385-4F5E-42B1-8976-05EA03A98F86}"/>
    <hyperlink ref="I51" r:id="rId75" xr:uid="{393FDF59-9165-46B7-B105-5F4AD6E1434C}"/>
    <hyperlink ref="Q51" r:id="rId76" xr:uid="{DC69EF37-3671-463B-BF0D-52E515E1D548}"/>
    <hyperlink ref="I53" r:id="rId77" xr:uid="{E4B75FDD-6FFF-40FC-A7E3-9BE89F96158C}"/>
    <hyperlink ref="Q53" r:id="rId78" xr:uid="{C43F296E-8F4C-4E66-9C8D-E2496B893975}"/>
    <hyperlink ref="Q52" r:id="rId79" xr:uid="{0F13998F-A830-4E7F-9922-BBC719B6F298}"/>
    <hyperlink ref="Q54" r:id="rId80" xr:uid="{B0AA5A56-63F4-48E8-8475-A58F543AEA07}"/>
    <hyperlink ref="Q55" r:id="rId81" xr:uid="{87E2C5A4-5BCF-4625-B1D5-C59488783805}"/>
    <hyperlink ref="I56" r:id="rId82" xr:uid="{F3206FEC-53B8-4B53-B10E-869256724B5A}"/>
    <hyperlink ref="Q56" r:id="rId83" xr:uid="{7C9693EA-08C1-4204-A9B0-3B8856A5901D}"/>
    <hyperlink ref="I57" r:id="rId84" xr:uid="{F970AE0C-5E80-4E1C-99BB-4F8B98DF69D3}"/>
    <hyperlink ref="Q57" r:id="rId85" xr:uid="{8FD42256-35BD-4382-AC11-B013990A65DC}"/>
    <hyperlink ref="I58" r:id="rId86" xr:uid="{BD6BD034-CFD1-433B-8F58-232D8CF8AD77}"/>
    <hyperlink ref="I60" r:id="rId87" xr:uid="{CC98FD02-F28F-4C9F-B0E4-C3F1D0DB1B8C}"/>
    <hyperlink ref="Q60" r:id="rId88" xr:uid="{CA8DDC5D-9EB4-43C8-9F48-4ADB407B252B}"/>
    <hyperlink ref="Q61" r:id="rId89" xr:uid="{B02B7833-423D-4093-AC45-EDA9B1BEA819}"/>
    <hyperlink ref="I62" r:id="rId90" xr:uid="{542AD8B8-4B5E-439E-AFC3-0B62D6E6854B}"/>
    <hyperlink ref="Q62" r:id="rId91" xr:uid="{D1C34212-1571-437C-AA24-FBF6F3478879}"/>
    <hyperlink ref="I63" r:id="rId92" xr:uid="{3083912B-D6E1-4076-B7BB-7685216074D9}"/>
    <hyperlink ref="I64" r:id="rId93" xr:uid="{BD40C9E8-8ADA-49CD-9E6E-F308442D168E}"/>
    <hyperlink ref="I65" r:id="rId94" xr:uid="{F86CAF8C-684F-441A-B0A0-C002116A2682}"/>
    <hyperlink ref="I67" r:id="rId95" xr:uid="{AB2B1E23-3706-414B-B4D8-580C294609B0}"/>
    <hyperlink ref="I68" r:id="rId96" xr:uid="{920CF75C-D66D-455A-BF28-B90F6839E823}"/>
    <hyperlink ref="I69" r:id="rId97" xr:uid="{2867647C-13D9-446C-831C-3B672C2FE676}"/>
    <hyperlink ref="I70" r:id="rId98" xr:uid="{160AA6A8-C6AB-4B27-8BFF-39A36AFCB4A4}"/>
    <hyperlink ref="I71" r:id="rId99" xr:uid="{38CA0C65-3C7A-434C-951B-CF74011D6F9F}"/>
    <hyperlink ref="I72" r:id="rId100" xr:uid="{43A1DE02-9115-4406-B59D-A496C8B95C04}"/>
    <hyperlink ref="I73" r:id="rId101" xr:uid="{4F47CBE8-FF3E-4C1C-8B23-28F079E2372A}"/>
    <hyperlink ref="I74" r:id="rId102" xr:uid="{089FF491-3A58-4E58-842F-6F6B1F537CAB}"/>
    <hyperlink ref="I75" r:id="rId103" xr:uid="{6890C8D2-DDF4-4A1A-A30F-EFA3159849CF}"/>
    <hyperlink ref="I76" r:id="rId104" xr:uid="{47B15606-D8C5-4BC8-972B-90A750A7BAA4}"/>
    <hyperlink ref="Q77" r:id="rId105" display="Q16" xr:uid="{5317AEC6-9E0D-437E-B470-C705C294FF85}"/>
    <hyperlink ref="I78" r:id="rId106" xr:uid="{623B17D2-DB65-4863-904F-40A2437FD599}"/>
    <hyperlink ref="I79" r:id="rId107" xr:uid="{E15A8A68-EFCB-4845-9371-C4CAA6A8F93C}"/>
    <hyperlink ref="I83" r:id="rId108" xr:uid="{49F9E538-8125-4809-B942-5287FE7291D8}"/>
    <hyperlink ref="Q63" r:id="rId109" xr:uid="{DBC528F8-A6C9-4B03-9AF4-2101113659CA}"/>
    <hyperlink ref="Q64" r:id="rId110" xr:uid="{82F7B413-3EBC-4562-9AFF-916EBC72595E}"/>
    <hyperlink ref="Q65" r:id="rId111" xr:uid="{A211A3D7-F418-40CA-8313-87E8AD1F0654}"/>
    <hyperlink ref="Q66" r:id="rId112" xr:uid="{FE3EC1E2-2FD3-413F-A930-A5E054EB13DD}"/>
    <hyperlink ref="Q67" r:id="rId113" xr:uid="{2703DD1F-128D-4479-9681-9043599DF062}"/>
    <hyperlink ref="Q68" r:id="rId114" xr:uid="{15DB1553-44CA-471D-B39F-674CA39FED84}"/>
    <hyperlink ref="Q69" r:id="rId115" xr:uid="{7C7E64CF-EB67-45C1-9460-CE6D435559AD}"/>
    <hyperlink ref="Q70" r:id="rId116" xr:uid="{8AFE0C7B-5A5D-41B4-B102-CF636340D8D8}"/>
    <hyperlink ref="Q71" r:id="rId117" xr:uid="{716902BA-B863-47BF-B145-987584410248}"/>
    <hyperlink ref="Q72" r:id="rId118" xr:uid="{6386EB8D-466C-41EE-8A0F-F4F17301EE3D}"/>
    <hyperlink ref="Q73" r:id="rId119" xr:uid="{210ED4F7-C9A4-42D3-9EC9-A0FE86E72D80}"/>
    <hyperlink ref="Q74" r:id="rId120" xr:uid="{38A95612-9FA9-4A5E-A6F0-DF5AEC6336E3}"/>
    <hyperlink ref="Q75" r:id="rId121" xr:uid="{92E8CEF9-6B29-488A-AC96-7D0870B46C49}"/>
    <hyperlink ref="Q76" r:id="rId122" xr:uid="{1DB635E3-7B0D-4CDD-8219-DED4E52499A8}"/>
    <hyperlink ref="Q78" r:id="rId123" xr:uid="{843E649D-2C45-49FB-926E-2320E37C8C27}"/>
    <hyperlink ref="Q79" r:id="rId124" xr:uid="{3485E01B-EB03-4343-B257-4C9932E228AE}"/>
    <hyperlink ref="Q82" r:id="rId125" xr:uid="{1CAA0395-331B-40AA-9D94-52E5D3DE37E6}"/>
    <hyperlink ref="Q83" r:id="rId126" xr:uid="{5F50244A-447D-45A8-993B-FB53DD274363}"/>
    <hyperlink ref="Q58" r:id="rId127" xr:uid="{38CEA65E-F55C-4AD0-9B12-A67647FE83C2}"/>
    <hyperlink ref="I84" r:id="rId128" xr:uid="{6E7B5A64-6FD3-4903-B96C-B82721EB9BFD}"/>
    <hyperlink ref="I85" r:id="rId129" xr:uid="{8C29F42C-D4F5-4E00-A24C-95438736C0CD}"/>
    <hyperlink ref="Q84" r:id="rId130" xr:uid="{2C55B65A-E79C-4C10-8FCA-7D726C37446D}"/>
    <hyperlink ref="Q85" r:id="rId131" xr:uid="{5B57A163-0F0E-44F1-90D2-70F588EC3DCD}"/>
    <hyperlink ref="Q36" r:id="rId132" xr:uid="{CA5813D7-8FC8-423D-9DB4-0AA2D0DC0E6F}"/>
    <hyperlink ref="I87" r:id="rId133" xr:uid="{6AA8E7CA-CCAE-43AD-941D-623B76CDE195}"/>
    <hyperlink ref="Q86" r:id="rId134" xr:uid="{B7638713-7B41-4240-9716-1EACD0AD6BD7}"/>
    <hyperlink ref="Q49" r:id="rId135" xr:uid="{7F7F8148-E3DE-466F-A5BA-D0568270B427}"/>
    <hyperlink ref="I59" r:id="rId136" xr:uid="{A317402E-2F24-4979-B6D7-2BB913FCD615}"/>
    <hyperlink ref="I80:I81" r:id="rId137" display="jullietts32@gmail.com" xr:uid="{175E6DA6-523E-4D81-9F3C-96B5E7650F10}"/>
    <hyperlink ref="I88" r:id="rId138" xr:uid="{9098EACA-D33A-4B94-ACE7-86E8C0211644}"/>
    <hyperlink ref="Q88" r:id="rId139" xr:uid="{5DE84E0F-16F2-494C-AB99-4FCD7704DD1B}"/>
    <hyperlink ref="Q87" r:id="rId140" xr:uid="{BB5DA0C6-5F0B-41D6-9AC4-5E67F2D2946C}"/>
    <hyperlink ref="I52" r:id="rId141" xr:uid="{F6396272-FF23-4D98-8AE9-9C36321F536A}"/>
    <hyperlink ref="I89" r:id="rId142" xr:uid="{8DFBDE11-12FF-41FD-8A5F-91D824C6F1C7}"/>
    <hyperlink ref="Q90" r:id="rId143" xr:uid="{9D852826-956C-4D9B-824E-97D1597DAA25}"/>
    <hyperlink ref="Q89" r:id="rId144" xr:uid="{EE65C3EA-0AC9-4962-A621-39EFD565A18E}"/>
    <hyperlink ref="I91" r:id="rId145" xr:uid="{21F513A0-0103-4014-9DC9-F1921B93C189}"/>
    <hyperlink ref="I92" r:id="rId146" xr:uid="{DBBB2097-40F1-443B-AC9A-4F4292124935}"/>
    <hyperlink ref="Q92" r:id="rId147" xr:uid="{293E7FC4-FA86-4881-8194-EF297A9E680C}"/>
    <hyperlink ref="Q91" r:id="rId148" xr:uid="{898525D8-4F18-4382-8FFA-5CCA5D84D347}"/>
    <hyperlink ref="Q80" r:id="rId149" xr:uid="{CAEE155D-6593-490B-AE5D-92C54A91137C}"/>
    <hyperlink ref="Q81" r:id="rId150" xr:uid="{F4E58638-76A7-4A76-B7A1-E7B80A460E01}"/>
    <hyperlink ref="Q59" r:id="rId151" xr:uid="{00B87E1B-B34A-4A15-BF9E-970640E2A2B3}"/>
    <hyperlink ref="I95" r:id="rId152" xr:uid="{D7DB3C36-FF3F-4520-B761-5768E47D1D97}"/>
    <hyperlink ref="I93" r:id="rId153" xr:uid="{7D371128-3038-475E-A5F2-5B060ACF0449}"/>
    <hyperlink ref="Q93" r:id="rId154" display="R53" xr:uid="{97EF0ED9-AE83-426E-AF06-25797CBA988F}"/>
    <hyperlink ref="Q94" r:id="rId155" display="R54" xr:uid="{862985C6-84A1-4390-9C0F-803D027F6ED4}"/>
    <hyperlink ref="Q95" r:id="rId156" xr:uid="{07F29AB0-4783-43B1-A44B-4D9591AF2573}"/>
    <hyperlink ref="I94" r:id="rId157" xr:uid="{86570B0C-3BA5-4AF9-BE6C-B9FB49B201C1}"/>
    <hyperlink ref="Q96" r:id="rId158" xr:uid="{227ADBB6-DC55-4516-87CB-7D54FEA4AE12}"/>
    <hyperlink ref="Q98" r:id="rId159" xr:uid="{3D196EEF-D88D-4279-B58A-E2B0E6F30AFF}"/>
    <hyperlink ref="Q97" r:id="rId160" xr:uid="{84474041-4B85-420A-864A-B8BA49721EAC}"/>
    <hyperlink ref="I97" r:id="rId161" xr:uid="{807EAD0B-62F6-4C68-9D76-11639F45A901}"/>
    <hyperlink ref="I98" r:id="rId162" xr:uid="{443FB685-DC47-47B8-9892-D14759E19CC1}"/>
    <hyperlink ref="I96" r:id="rId163" xr:uid="{A4009871-69E5-4F74-AE4A-EDFF502B28EF}"/>
    <hyperlink ref="Q99" r:id="rId164" display="R60" xr:uid="{E90C4FA7-8C4C-429A-AFD3-784022B6B78C}"/>
    <hyperlink ref="Q100" r:id="rId165" display="R60" xr:uid="{24C2F878-AFF9-4E1A-BA73-7A8B28A4E2AD}"/>
    <hyperlink ref="I99" r:id="rId166" xr:uid="{01792B90-E51B-4026-ACC2-C021387E7482}"/>
    <hyperlink ref="I100" r:id="rId167" xr:uid="{3F819D5D-FD0D-4E8C-A05F-E780D72583E9}"/>
    <hyperlink ref="Q101" r:id="rId168" xr:uid="{C9153E3A-91B9-4997-A104-D65B095B6CCC}"/>
    <hyperlink ref="I101" r:id="rId169" xr:uid="{DDF9CD8D-1238-43B1-AAC9-C711F511B6DC}"/>
    <hyperlink ref="Q103" r:id="rId170" xr:uid="{C9235FCC-2753-460E-9A59-9A6F53AB8992}"/>
    <hyperlink ref="I103" r:id="rId171" xr:uid="{E95C6F46-AEDB-43D8-99A4-182267EB8502}"/>
    <hyperlink ref="Q104" r:id="rId172" display="R64" xr:uid="{44F8263F-6FF6-4BE2-B619-DAD61C15BDED}"/>
    <hyperlink ref="I104" r:id="rId173" xr:uid="{B2AAB2DA-90E6-45DD-87DA-411A7B5AEEBE}"/>
    <hyperlink ref="Q106" r:id="rId174" xr:uid="{9046367F-2AC8-486F-B98D-B55F7D419C04}"/>
    <hyperlink ref="Q107" r:id="rId175" xr:uid="{4AA5611A-8740-4F66-BCCC-0DF9A0EDB3A8}"/>
    <hyperlink ref="Q108" r:id="rId176" xr:uid="{B943819D-80C5-4D42-85D9-F3E4179F378D}"/>
    <hyperlink ref="Q109" r:id="rId177" xr:uid="{82C63C65-439D-4F77-AF85-F0945CAF04C0}"/>
    <hyperlink ref="Q110" r:id="rId178" xr:uid="{394E1F48-0801-472A-A8CB-305F35756455}"/>
    <hyperlink ref="I110" r:id="rId179" xr:uid="{E2D00E3E-DC30-43B4-91BD-0497C4F4ED64}"/>
    <hyperlink ref="I108" r:id="rId180" xr:uid="{57E79823-FB95-453D-A8AA-80F4486FD101}"/>
    <hyperlink ref="I109" r:id="rId181" xr:uid="{57126456-1216-4460-BFA5-9ECABC0ADE0E}"/>
  </hyperlinks>
  <printOptions horizontalCentered="1"/>
  <pageMargins left="0.70866141732283472" right="0.70866141732283472" top="0.74803149606299213" bottom="0.74803149606299213" header="0.31496062992125984" footer="0.31496062992125984"/>
  <pageSetup scale="27" fitToWidth="0" fitToHeight="0" orientation="landscape" r:id="rId182"/>
  <drawing r:id="rId183"/>
  <tableParts count="1">
    <tablePart r:id="rId184"/>
  </tableParts>
  <extLst>
    <ext xmlns:x14="http://schemas.microsoft.com/office/spreadsheetml/2009/9/main" uri="{78C0D931-6437-407d-A8EE-F0AAD7539E65}">
      <x14:conditionalFormattings>
        <x14:conditionalFormatting xmlns:xm="http://schemas.microsoft.com/office/excel/2006/main">
          <x14:cfRule type="colorScale" priority="25" id="{C8C81EB7-8B1B-4B1B-BC3D-9DC6F6911F4E}">
            <x14:colorScale>
              <x14:cfvo type="formula">
                <xm:f>Hoja3!$G$6</xm:f>
              </x14:cfvo>
              <x14:cfvo type="formula">
                <xm:f>Hoja3!$G$7</xm:f>
              </x14:cfvo>
              <x14:cfvo type="formula">
                <xm:f>Hoja3!$G$5</xm:f>
              </x14:cfvo>
              <x14:color rgb="FFFF0000"/>
              <x14:color rgb="FFFFC000"/>
              <x14:color rgb="FF00B050"/>
            </x14:colorScale>
          </x14:cfRule>
          <xm:sqref>O10</xm:sqref>
        </x14:conditionalFormatting>
      </x14:conditionalFormattings>
    </ext>
    <ext xmlns:x14="http://schemas.microsoft.com/office/spreadsheetml/2009/9/main" uri="{CCE6A557-97BC-4b89-ADB6-D9C93CAAB3DF}">
      <x14:dataValidations xmlns:xm="http://schemas.microsoft.com/office/excel/2006/main" disablePrompts="1" xWindow="613" yWindow="790" count="5">
        <x14:dataValidation type="list" allowBlank="1" showInputMessage="1" showErrorMessage="1" xr:uid="{C78D32B6-6EF5-4B5D-B8A4-14488C4F8C83}">
          <x14:formula1>
            <xm:f>Hoja3!$E$5:$E$9</xm:f>
          </x14:formula1>
          <xm:sqref>C10:C85</xm:sqref>
        </x14:dataValidation>
        <x14:dataValidation type="list" showInputMessage="1" showErrorMessage="1" promptTitle="Seleccionar" prompt="Seleccionar" xr:uid="{42C4A345-B640-4623-9FF8-73CE4C923790}">
          <x14:formula1>
            <xm:f>Hoja3!$I$5:$I$9</xm:f>
          </x14:formula1>
          <xm:sqref>R10</xm:sqref>
        </x14:dataValidation>
        <x14:dataValidation type="list" allowBlank="1" showInputMessage="1" showErrorMessage="1" promptTitle="Seleccionar " xr:uid="{9166F676-7A11-42C7-82AC-8C8DCE1130B1}">
          <x14:formula1>
            <xm:f>Hoja3!$I$5:$I$9</xm:f>
          </x14:formula1>
          <xm:sqref>R9</xm:sqref>
        </x14:dataValidation>
        <x14:dataValidation type="list" showInputMessage="1" showErrorMessage="1" xr:uid="{353EA52D-1ED8-4DEA-A67E-8C7AF5C25938}">
          <x14:formula1>
            <xm:f>Hoja3!$I$5:$I$9</xm:f>
          </x14:formula1>
          <xm:sqref>R11:R112</xm:sqref>
        </x14:dataValidation>
        <x14:dataValidation type="list" showInputMessage="1" showErrorMessage="1" promptTitle="Seeccionar" prompt="Cerrado,Abierto,En ejeccución, Seleccionar" xr:uid="{1298B4D3-34A5-4134-8C12-1D116A0626E0}">
          <x14:formula1>
            <xm:f>Hoja3!$G$5:$G$8</xm:f>
          </x14:formula1>
          <xm:sqref>O9:O112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19D0-8CC1-4836-BB6B-9B0D30C6F522}">
  <sheetPr codeName="Hoja4"/>
  <dimension ref="A1:S111"/>
  <sheetViews>
    <sheetView topLeftCell="A107" zoomScale="55" zoomScaleNormal="55" workbookViewId="0">
      <selection activeCell="M117" sqref="M117"/>
    </sheetView>
  </sheetViews>
  <sheetFormatPr baseColWidth="10" defaultColWidth="11.44140625" defaultRowHeight="14.4" outlineLevelCol="1"/>
  <cols>
    <col min="1" max="1" width="11.44140625" style="37"/>
    <col min="2" max="3" width="18.88671875" style="37" customWidth="1"/>
    <col min="4" max="4" width="29.77734375" style="37" customWidth="1"/>
    <col min="5" max="5" width="32.6640625" style="37" hidden="1" customWidth="1" outlineLevel="1"/>
    <col min="6" max="6" width="14.21875" style="37" hidden="1" customWidth="1" outlineLevel="1"/>
    <col min="7" max="7" width="23.6640625" style="37" hidden="1" customWidth="1" outlineLevel="1"/>
    <col min="8" max="8" width="23.6640625" style="37" customWidth="1" collapsed="1"/>
    <col min="9" max="9" width="30.44140625" style="38" customWidth="1"/>
    <col min="10" max="10" width="22.33203125" style="37" customWidth="1"/>
    <col min="11" max="11" width="29.33203125" style="37" customWidth="1"/>
    <col min="12" max="12" width="23.6640625" style="178" customWidth="1"/>
    <col min="13" max="13" width="21.33203125" style="38" customWidth="1"/>
    <col min="14" max="14" width="36.44140625" style="38" bestFit="1" customWidth="1"/>
    <col min="15" max="15" width="18.44140625" style="37" bestFit="1" customWidth="1"/>
    <col min="16" max="16" width="17" style="37" customWidth="1"/>
    <col min="17" max="17" width="24.5546875" style="38" bestFit="1" customWidth="1"/>
    <col min="18" max="18" width="17" style="37" customWidth="1"/>
    <col min="20" max="16384" width="11.44140625" style="37"/>
  </cols>
  <sheetData>
    <row r="1" spans="1:19" customFormat="1">
      <c r="A1" s="37"/>
      <c r="B1" s="213"/>
      <c r="C1" s="213"/>
      <c r="D1" s="213"/>
      <c r="E1" s="213"/>
      <c r="F1" s="213"/>
      <c r="G1" s="213"/>
      <c r="H1" s="213"/>
      <c r="I1" s="213"/>
      <c r="J1" s="213"/>
      <c r="K1" s="213"/>
      <c r="L1" s="213"/>
      <c r="M1" s="213"/>
      <c r="N1" s="213"/>
      <c r="O1" s="213"/>
      <c r="P1" s="213"/>
      <c r="Q1" s="213"/>
    </row>
    <row r="2" spans="1:19" customFormat="1">
      <c r="A2" s="37"/>
      <c r="B2" s="213"/>
      <c r="C2" s="213"/>
      <c r="D2" s="213"/>
      <c r="E2" s="213"/>
      <c r="F2" s="213"/>
      <c r="G2" s="213"/>
      <c r="H2" s="213"/>
      <c r="I2" s="213"/>
      <c r="J2" s="213"/>
      <c r="K2" s="213"/>
      <c r="L2" s="213"/>
      <c r="M2" s="213"/>
      <c r="N2" s="213"/>
      <c r="O2" s="213"/>
      <c r="P2" s="213"/>
      <c r="Q2" s="213"/>
    </row>
    <row r="3" spans="1:19" customFormat="1">
      <c r="A3" s="37"/>
      <c r="B3" s="213"/>
      <c r="C3" s="213"/>
      <c r="D3" s="213"/>
      <c r="E3" s="213"/>
      <c r="F3" s="213"/>
      <c r="G3" s="213"/>
      <c r="H3" s="213"/>
      <c r="I3" s="213"/>
      <c r="J3" s="213"/>
      <c r="K3" s="213"/>
      <c r="L3" s="213"/>
      <c r="M3" s="213"/>
      <c r="N3" s="213"/>
      <c r="O3" s="213"/>
      <c r="P3" s="213"/>
      <c r="Q3" s="213"/>
    </row>
    <row r="4" spans="1:19" customFormat="1">
      <c r="A4" s="37"/>
      <c r="B4" s="213"/>
      <c r="C4" s="213"/>
      <c r="D4" s="213"/>
      <c r="E4" s="213"/>
      <c r="F4" s="213"/>
      <c r="G4" s="213"/>
      <c r="H4" s="213"/>
      <c r="I4" s="213"/>
      <c r="J4" s="213"/>
      <c r="K4" s="213"/>
      <c r="L4" s="213"/>
      <c r="M4" s="213"/>
      <c r="N4" s="213"/>
      <c r="O4" s="213"/>
      <c r="P4" s="213"/>
      <c r="Q4" s="213"/>
    </row>
    <row r="5" spans="1:19" customFormat="1">
      <c r="A5" s="37"/>
      <c r="B5" s="213"/>
      <c r="C5" s="213"/>
      <c r="D5" s="213"/>
      <c r="E5" s="213"/>
      <c r="F5" s="213"/>
      <c r="G5" s="213"/>
      <c r="H5" s="213"/>
      <c r="I5" s="213"/>
      <c r="J5" s="213"/>
      <c r="K5" s="213"/>
      <c r="L5" s="213"/>
      <c r="M5" s="213"/>
      <c r="N5" s="213"/>
      <c r="O5" s="213"/>
      <c r="P5" s="213"/>
      <c r="Q5" s="213"/>
    </row>
    <row r="6" spans="1:19" customFormat="1">
      <c r="A6" s="37"/>
      <c r="B6" s="213"/>
      <c r="C6" s="213"/>
      <c r="D6" s="213"/>
      <c r="E6" s="213"/>
      <c r="F6" s="213"/>
      <c r="G6" s="213"/>
      <c r="H6" s="213"/>
      <c r="I6" s="213"/>
      <c r="J6" s="213"/>
      <c r="K6" s="213"/>
      <c r="L6" s="213"/>
      <c r="M6" s="213"/>
      <c r="N6" s="213"/>
      <c r="O6" s="213"/>
      <c r="P6" s="213"/>
      <c r="Q6" s="213"/>
    </row>
    <row r="7" spans="1:19">
      <c r="I7" s="37"/>
      <c r="J7" s="173"/>
      <c r="K7" s="178"/>
      <c r="L7" s="38"/>
      <c r="N7" s="37"/>
      <c r="P7" s="38"/>
      <c r="Q7" s="37"/>
      <c r="S7" s="37"/>
    </row>
    <row r="8" spans="1:19">
      <c r="I8" s="37"/>
      <c r="J8" s="173"/>
      <c r="K8" s="178"/>
      <c r="L8" s="38"/>
      <c r="N8" s="37"/>
      <c r="P8" s="38"/>
      <c r="Q8" s="37"/>
      <c r="S8" s="37"/>
    </row>
    <row r="9" spans="1:19" s="112" customFormat="1" ht="45.6" customHeight="1">
      <c r="B9" s="115" t="s">
        <v>463</v>
      </c>
      <c r="C9" s="117" t="s">
        <v>29</v>
      </c>
      <c r="D9" s="116" t="s">
        <v>8</v>
      </c>
      <c r="E9" s="116" t="s">
        <v>576</v>
      </c>
      <c r="F9" s="116" t="s">
        <v>549</v>
      </c>
      <c r="G9" s="116" t="s">
        <v>21</v>
      </c>
      <c r="H9" s="116" t="s">
        <v>699</v>
      </c>
      <c r="I9" s="116" t="s">
        <v>19</v>
      </c>
      <c r="J9" s="116" t="s">
        <v>20</v>
      </c>
      <c r="K9" s="182" t="s">
        <v>15</v>
      </c>
      <c r="L9" s="116" t="s">
        <v>16</v>
      </c>
      <c r="M9" s="116" t="s">
        <v>17</v>
      </c>
      <c r="N9" s="116" t="s">
        <v>18</v>
      </c>
      <c r="O9" s="118" t="s">
        <v>9</v>
      </c>
      <c r="P9" s="119" t="s">
        <v>577</v>
      </c>
      <c r="Q9" s="119" t="s">
        <v>578</v>
      </c>
    </row>
    <row r="10" spans="1:19" ht="57.6">
      <c r="B10" s="113">
        <f t="shared" ref="B10:B41" si="0">ROW(A10)-ROW($A$9)</f>
        <v>1</v>
      </c>
      <c r="C10" s="45" t="str">
        <f>IFERROR(VLOOKUP(B10,Tabla1[],2,FALSE),"")</f>
        <v>311-1</v>
      </c>
      <c r="D10" s="45" t="str">
        <f>IFERROR(VLOOKUP(B10,Tabla1[],3,FALSE),"")</f>
        <v>Queja</v>
      </c>
      <c r="E10" s="144" t="str">
        <f>IFERROR(VLOOKUP(B10,Tabla1[],5,FALSE),"")</f>
        <v>T1</v>
      </c>
      <c r="F10" s="45">
        <f>IFERROR(VLOOKUP(B10,Tabla1[],6,FALSE),"")</f>
        <v>2022</v>
      </c>
      <c r="G10" s="45" t="str">
        <f>IFERROR(VLOOKUP(Tabla3[[#This Row],[No.]],Tabla1[],19,FALSE),"")</f>
        <v xml:space="preserve">Interno </v>
      </c>
      <c r="H10" s="45" t="str">
        <f>IFERROR(VLOOKUP(Tabla3[[#This Row],[No.]],Tabla1[],18,FALSE),"")</f>
        <v>Línea 311</v>
      </c>
      <c r="I10" s="97" t="s">
        <v>91</v>
      </c>
      <c r="J10" s="97" t="s">
        <v>89</v>
      </c>
      <c r="K10" s="181" t="s">
        <v>90</v>
      </c>
      <c r="L10" s="54">
        <v>44579</v>
      </c>
      <c r="M10" s="54">
        <v>44587</v>
      </c>
      <c r="N10" s="47" t="s">
        <v>94</v>
      </c>
      <c r="O10" s="127" t="str">
        <f>IF(Tabla3[[#This Row],[Fecha de Fin ]]&lt;&gt;"","Cerrado","")</f>
        <v>Cerrado</v>
      </c>
      <c r="P10" s="114">
        <f>IFERROR(IF(+NETWORKDAYS(L10,M10,Hoja3!A1:A41)-1&gt;=0,+NETWORKDAYS(L10,M10,Hoja3!A1:A41)-1,""),"")</f>
        <v>4</v>
      </c>
      <c r="Q10" s="165" t="str" cm="1">
        <f t="array" ref="Q10">_xlfn.IFS(Tabla3[[#This Row],[Días CGR]]&lt;=15,"A tiempo",Tabla3[[#This Row],[Días CGR]]="","",Tabla3[[#This Row],[Días CGR]]&gt;15,"En retraso")</f>
        <v>A tiempo</v>
      </c>
      <c r="S10" s="37"/>
    </row>
    <row r="11" spans="1:19" ht="43.2">
      <c r="B11" s="113">
        <f t="shared" si="0"/>
        <v>2</v>
      </c>
      <c r="C11" s="45" t="str">
        <f>IFERROR(VLOOKUP(B11,Tabla1[],2,FALSE),"")</f>
        <v>Q01</v>
      </c>
      <c r="D11" s="45" t="str">
        <f>IFERROR(VLOOKUP(B11,Tabla1[],3,FALSE),"")</f>
        <v>Queja</v>
      </c>
      <c r="E11" s="45" t="str">
        <f>IFERROR(VLOOKUP(B11,Tabla1[],5,FALSE),"")</f>
        <v>T1</v>
      </c>
      <c r="F11" s="45">
        <f>IFERROR(VLOOKUP(B11,Tabla1[],6,FALSE),"")</f>
        <v>2022</v>
      </c>
      <c r="G11" s="45" t="str">
        <f>IFERROR(VLOOKUP(Tabla3[[#This Row],[No.]],Tabla1[],19,FALSE),"")</f>
        <v xml:space="preserve">Externo </v>
      </c>
      <c r="H11" s="45" t="str">
        <f>IFERROR(VLOOKUP(Tabla3[[#This Row],[No.]],Tabla1[],18,FALSE),"")</f>
        <v>Buzón Físico</v>
      </c>
      <c r="I11" s="97" t="s">
        <v>534</v>
      </c>
      <c r="J11" s="97" t="s">
        <v>409</v>
      </c>
      <c r="K11" s="97" t="s">
        <v>409</v>
      </c>
      <c r="L11" s="46" t="s">
        <v>409</v>
      </c>
      <c r="M11" s="46" t="s">
        <v>409</v>
      </c>
      <c r="N11" s="97" t="s">
        <v>409</v>
      </c>
      <c r="O11" s="168" t="s">
        <v>61</v>
      </c>
      <c r="P11" s="114" t="str">
        <f>IFERROR(IF(+NETWORKDAYS(L11,M11,Hoja3!A2:A42)-1&gt;=0,+NETWORKDAYS(L11,M11,Hoja3!A2:A42)-1,""),"")</f>
        <v/>
      </c>
      <c r="Q11" s="165" t="str" cm="1">
        <f t="array" ref="Q11">_xlfn.IFS(Tabla3[[#This Row],[Días CGR]]&lt;=15,"A tiempo",Tabla3[[#This Row],[Días CGR]]="","",Tabla3[[#This Row],[Días CGR]]&gt;15,"En retraso")</f>
        <v/>
      </c>
      <c r="S11" s="37"/>
    </row>
    <row r="12" spans="1:19" ht="57.6">
      <c r="B12" s="113">
        <f t="shared" si="0"/>
        <v>3</v>
      </c>
      <c r="C12" s="45" t="str">
        <f>IFERROR(VLOOKUP(B12,Tabla1[],2,FALSE),"")</f>
        <v>311-2</v>
      </c>
      <c r="D12" s="45" t="str">
        <f>IFERROR(VLOOKUP(B12,Tabla1[],3,FALSE),"")</f>
        <v>Queja</v>
      </c>
      <c r="E12" s="45" t="str">
        <f>IFERROR(VLOOKUP(B12,Tabla1[],5,FALSE),"")</f>
        <v>T2</v>
      </c>
      <c r="F12" s="45">
        <f>IFERROR(VLOOKUP(B12,Tabla1[],6,FALSE),"")</f>
        <v>2022</v>
      </c>
      <c r="G12" s="45" t="str">
        <f>IFERROR(VLOOKUP(Tabla3[[#This Row],[No.]],Tabla1[],19,FALSE),"")</f>
        <v xml:space="preserve">Externo </v>
      </c>
      <c r="H12" s="45" t="str">
        <f>IFERROR(VLOOKUP(Tabla3[[#This Row],[No.]],Tabla1[],18,FALSE),"")</f>
        <v>Línea 311</v>
      </c>
      <c r="I12" s="97" t="s">
        <v>92</v>
      </c>
      <c r="J12" s="97" t="s">
        <v>93</v>
      </c>
      <c r="K12" s="181" t="s">
        <v>90</v>
      </c>
      <c r="L12" s="54">
        <v>44659</v>
      </c>
      <c r="M12" s="54">
        <v>44662</v>
      </c>
      <c r="N12" s="47" t="s">
        <v>88</v>
      </c>
      <c r="O12" s="127" t="str">
        <f>IF(Tabla3[[#This Row],[Fecha de Fin ]]&lt;&gt;"","Cerrado","")</f>
        <v>Cerrado</v>
      </c>
      <c r="P12" s="114">
        <f>IFERROR(IF(+NETWORKDAYS(L12,M12,Hoja3!A3:A43)-1&gt;=0,+NETWORKDAYS(L12,M12,Hoja3!A3:A43)-1,""),"")</f>
        <v>1</v>
      </c>
      <c r="Q12" s="165" t="str" cm="1">
        <f t="array" ref="Q12">_xlfn.IFS(Tabla3[[#This Row],[Días CGR]]&lt;=15,"A tiempo",Tabla3[[#This Row],[Días CGR]]="","",Tabla3[[#This Row],[Días CGR]]&gt;15,"En retraso")</f>
        <v>A tiempo</v>
      </c>
      <c r="S12" s="37"/>
    </row>
    <row r="13" spans="1:19" ht="57.6">
      <c r="B13" s="128">
        <f t="shared" si="0"/>
        <v>4</v>
      </c>
      <c r="C13" s="24" t="str">
        <f>IFERROR(VLOOKUP(B13,Tabla1[],2,FALSE),"")</f>
        <v>Q04</v>
      </c>
      <c r="D13" s="45" t="str">
        <f>IFERROR(VLOOKUP(B13,Tabla1[],3,FALSE),"")</f>
        <v>Queja</v>
      </c>
      <c r="E13" s="45" t="str">
        <f>IFERROR(VLOOKUP(B13,Tabla1[],5,FALSE),"")</f>
        <v>T2</v>
      </c>
      <c r="F13" s="24">
        <f>IFERROR(VLOOKUP(B13,Tabla1[],6,FALSE),"")</f>
        <v>2022</v>
      </c>
      <c r="G13" s="45" t="str">
        <f>IFERROR(VLOOKUP(Tabla3[[#This Row],[No.]],Tabla1[],19,FALSE),"")</f>
        <v xml:space="preserve">Interno </v>
      </c>
      <c r="H13" s="45" t="str">
        <f>IFERROR(VLOOKUP(Tabla3[[#This Row],[No.]],Tabla1[],18,FALSE),"")</f>
        <v>Buzón Físico</v>
      </c>
      <c r="I13" s="22" t="s">
        <v>535</v>
      </c>
      <c r="J13" s="22" t="s">
        <v>79</v>
      </c>
      <c r="K13" s="22" t="s">
        <v>79</v>
      </c>
      <c r="L13" s="24" t="s">
        <v>79</v>
      </c>
      <c r="M13" s="24" t="s">
        <v>79</v>
      </c>
      <c r="N13" s="24" t="s">
        <v>79</v>
      </c>
      <c r="O13" s="168" t="s">
        <v>61</v>
      </c>
      <c r="P13" s="114" t="str">
        <f>IFERROR(IF(+NETWORKDAYS(L13,M13,Hoja3!A4:A44)-1&gt;=0,+NETWORKDAYS(L13,M13,Hoja3!A4:A44)-1,""),"")</f>
        <v/>
      </c>
      <c r="Q13" s="165" t="str" cm="1">
        <f t="array" ref="Q13">_xlfn.IFS(Tabla3[[#This Row],[Días CGR]]&lt;=15,"A tiempo",Tabla3[[#This Row],[Días CGR]]="","",Tabla3[[#This Row],[Días CGR]]&gt;15,"En retraso")</f>
        <v/>
      </c>
      <c r="S13" s="37"/>
    </row>
    <row r="14" spans="1:19">
      <c r="B14" s="113">
        <f t="shared" si="0"/>
        <v>5</v>
      </c>
      <c r="C14" s="45" t="str">
        <f>IFERROR(VLOOKUP(B14,Tabla1[],2,FALSE),"")</f>
        <v>Q03</v>
      </c>
      <c r="D14" s="45" t="str">
        <f>IFERROR(VLOOKUP(B14,Tabla1[],3,FALSE),"")</f>
        <v>Queja</v>
      </c>
      <c r="E14" s="45" t="str">
        <f>IFERROR(VLOOKUP(B14,Tabla1[],5,FALSE),"")</f>
        <v>T2</v>
      </c>
      <c r="F14" s="45">
        <f>IFERROR(VLOOKUP(B14,Tabla1[],6,FALSE),"")</f>
        <v>2022</v>
      </c>
      <c r="G14" s="45" t="str">
        <f>IFERROR(VLOOKUP(Tabla3[[#This Row],[No.]],Tabla1[],19,FALSE),"")</f>
        <v xml:space="preserve">Externo </v>
      </c>
      <c r="H14" s="45" t="str">
        <f>IFERROR(VLOOKUP(Tabla3[[#This Row],[No.]],Tabla1[],18,FALSE),"")</f>
        <v>Buzón Físico</v>
      </c>
      <c r="I14" s="97" t="s">
        <v>409</v>
      </c>
      <c r="J14" s="97" t="s">
        <v>409</v>
      </c>
      <c r="K14" s="97" t="s">
        <v>409</v>
      </c>
      <c r="L14" s="46" t="s">
        <v>409</v>
      </c>
      <c r="M14" s="46" t="s">
        <v>409</v>
      </c>
      <c r="N14" s="97" t="s">
        <v>409</v>
      </c>
      <c r="O14" s="168" t="s">
        <v>61</v>
      </c>
      <c r="P14" s="114" t="str">
        <f>IFERROR(IF(+NETWORKDAYS(L14,M14,Hoja3!A5:A45)-1&gt;=0,+NETWORKDAYS(L14,M14,Hoja3!A5:A45)-1,""),"")</f>
        <v/>
      </c>
      <c r="Q14" s="165" t="str" cm="1">
        <f t="array" ref="Q14">_xlfn.IFS(Tabla3[[#This Row],[Días CGR]]&lt;=15,"A tiempo",Tabla3[[#This Row],[Días CGR]]="","",Tabla3[[#This Row],[Días CGR]]&gt;15,"En retraso")</f>
        <v/>
      </c>
      <c r="S14" s="37"/>
    </row>
    <row r="15" spans="1:19" ht="57.6">
      <c r="B15" s="113">
        <f t="shared" si="0"/>
        <v>6</v>
      </c>
      <c r="C15" s="45" t="str">
        <f>IFERROR(VLOOKUP(B15,Tabla1[],2,FALSE),"")</f>
        <v>311-3</v>
      </c>
      <c r="D15" s="45" t="str">
        <f>IFERROR(VLOOKUP(B15,Tabla1[],3,FALSE),"")</f>
        <v>Queja</v>
      </c>
      <c r="E15" s="45" t="str">
        <f>IFERROR(VLOOKUP(B15,Tabla1[],5,FALSE),"")</f>
        <v>T2</v>
      </c>
      <c r="F15" s="45">
        <f>IFERROR(VLOOKUP(B15,Tabla1[],6,FALSE),"")</f>
        <v>2022</v>
      </c>
      <c r="G15" s="45" t="str">
        <f>IFERROR(VLOOKUP(Tabla3[[#This Row],[No.]],Tabla1[],19,FALSE),"")</f>
        <v xml:space="preserve">Externo </v>
      </c>
      <c r="H15" s="45" t="str">
        <f>IFERROR(VLOOKUP(Tabla3[[#This Row],[No.]],Tabla1[],18,FALSE),"")</f>
        <v>Línea 311</v>
      </c>
      <c r="I15" s="97" t="s">
        <v>92</v>
      </c>
      <c r="J15" s="97" t="s">
        <v>89</v>
      </c>
      <c r="K15" s="181" t="s">
        <v>90</v>
      </c>
      <c r="L15" s="54">
        <v>44691</v>
      </c>
      <c r="M15" s="54">
        <v>44692</v>
      </c>
      <c r="N15" s="47" t="s">
        <v>88</v>
      </c>
      <c r="O15" s="127" t="str">
        <f>IF(Tabla3[[#This Row],[Fecha de Fin ]]&lt;&gt;"","Cerrado","")</f>
        <v>Cerrado</v>
      </c>
      <c r="P15" s="114">
        <f>IFERROR(IF(+NETWORKDAYS(L15,M15,Hoja3!A6:A46)-1&gt;=0,+NETWORKDAYS(L15,M15,Hoja3!A6:A46)-1,""),"")</f>
        <v>1</v>
      </c>
      <c r="Q15" s="165" t="str" cm="1">
        <f t="array" ref="Q15">_xlfn.IFS(Tabla3[[#This Row],[Días CGR]]&lt;=15,"A tiempo",Tabla3[[#This Row],[Días CGR]]="","",Tabla3[[#This Row],[Días CGR]]&gt;15,"En retraso")</f>
        <v>A tiempo</v>
      </c>
      <c r="S15" s="37"/>
    </row>
    <row r="16" spans="1:19" ht="72">
      <c r="B16" s="113">
        <f t="shared" si="0"/>
        <v>7</v>
      </c>
      <c r="C16" s="45" t="str">
        <f>IFERROR(VLOOKUP(B16,Tabla1[],2,FALSE),"")</f>
        <v>311-4</v>
      </c>
      <c r="D16" s="45" t="str">
        <f>IFERROR(VLOOKUP(B16,Tabla1[],3,FALSE),"")</f>
        <v xml:space="preserve">Reclamación </v>
      </c>
      <c r="E16" s="45" t="str">
        <f>IFERROR(VLOOKUP(B16,Tabla1[],5,FALSE),"")</f>
        <v>T3</v>
      </c>
      <c r="F16" s="45">
        <f>IFERROR(VLOOKUP(B16,Tabla1[],6,FALSE),"")</f>
        <v>2022</v>
      </c>
      <c r="G16" s="45" t="str">
        <f>IFERROR(VLOOKUP(Tabla3[[#This Row],[No.]],Tabla1[],19,FALSE),"")</f>
        <v xml:space="preserve">Externo </v>
      </c>
      <c r="H16" s="45" t="str">
        <f>IFERROR(VLOOKUP(Tabla3[[#This Row],[No.]],Tabla1[],18,FALSE),"")</f>
        <v>Línea 311</v>
      </c>
      <c r="I16" s="97" t="s">
        <v>538</v>
      </c>
      <c r="J16" s="97" t="s">
        <v>537</v>
      </c>
      <c r="K16" s="181" t="s">
        <v>536</v>
      </c>
      <c r="L16" s="54">
        <v>44743</v>
      </c>
      <c r="M16" s="54">
        <v>44743</v>
      </c>
      <c r="N16" s="47" t="s">
        <v>88</v>
      </c>
      <c r="O16" s="127" t="str">
        <f>IF(Tabla3[[#This Row],[Fecha de Fin ]]&lt;&gt;"","Cerrado","")</f>
        <v>Cerrado</v>
      </c>
      <c r="P16" s="114">
        <f>IFERROR(IF(+NETWORKDAYS(L16,M16,Hoja3!A7:A47)-1&gt;=0,+NETWORKDAYS(L16,M16,Hoja3!A7:A47)-1,""),"")</f>
        <v>0</v>
      </c>
      <c r="Q16" s="165" t="str" cm="1">
        <f t="array" ref="Q16">_xlfn.IFS(Tabla3[[#This Row],[Días CGR]]&lt;=15,"A tiempo",Tabla3[[#This Row],[Días CGR]]="","",Tabla3[[#This Row],[Días CGR]]&gt;15,"En retraso")</f>
        <v>A tiempo</v>
      </c>
      <c r="S16" s="37"/>
    </row>
    <row r="17" spans="2:19" ht="82.8" customHeight="1">
      <c r="B17" s="113">
        <f t="shared" si="0"/>
        <v>8</v>
      </c>
      <c r="C17" s="45" t="str">
        <f>IFERROR(VLOOKUP(B17,Tabla1[],2,FALSE),"")</f>
        <v>Q06</v>
      </c>
      <c r="D17" s="45" t="str">
        <f>IFERROR(VLOOKUP(B17,Tabla1[],3,FALSE),"")</f>
        <v>Queja</v>
      </c>
      <c r="E17" s="45" t="str">
        <f>IFERROR(VLOOKUP(B17,Tabla1[],5,FALSE),"")</f>
        <v>T3</v>
      </c>
      <c r="F17" s="45">
        <f>IFERROR(VLOOKUP(B17,Tabla1[],6,FALSE),"")</f>
        <v>2022</v>
      </c>
      <c r="G17" s="45" t="str">
        <f>IFERROR(VLOOKUP(Tabla3[[#This Row],[No.]],Tabla1[],19,FALSE),"")</f>
        <v>Interno</v>
      </c>
      <c r="H17" s="45" t="str">
        <f>IFERROR(VLOOKUP(Tabla3[[#This Row],[No.]],Tabla1[],18,FALSE),"")</f>
        <v>Buzón Físico</v>
      </c>
      <c r="I17" s="97" t="s">
        <v>119</v>
      </c>
      <c r="J17" s="97" t="s">
        <v>120</v>
      </c>
      <c r="K17" s="97" t="s">
        <v>121</v>
      </c>
      <c r="L17" s="54">
        <v>44802</v>
      </c>
      <c r="M17" s="54">
        <v>44809</v>
      </c>
      <c r="N17" s="47" t="s">
        <v>78</v>
      </c>
      <c r="O17" s="127" t="str">
        <f>IF(Tabla3[[#This Row],[Fecha de Fin ]]&lt;&gt;"","Cerrado","")</f>
        <v>Cerrado</v>
      </c>
      <c r="P17" s="114">
        <f>IFERROR(IF(+NETWORKDAYS(L17,M17,Hoja3!A8:A48)-1&gt;=0,+NETWORKDAYS(L17,M17,Hoja3!A8:A48)-1,""),"")</f>
        <v>5</v>
      </c>
      <c r="Q17" s="165" t="str" cm="1">
        <f t="array" ref="Q17">_xlfn.IFS(Tabla3[[#This Row],[Días CGR]]&lt;=15,"A tiempo",Tabla3[[#This Row],[Días CGR]]="","",Tabla3[[#This Row],[Días CGR]]&gt;15,"En retraso")</f>
        <v>A tiempo</v>
      </c>
      <c r="S17" s="37"/>
    </row>
    <row r="18" spans="2:19" ht="72">
      <c r="B18" s="113">
        <f t="shared" si="0"/>
        <v>9</v>
      </c>
      <c r="C18" s="45" t="str">
        <f>IFERROR(VLOOKUP(B18,Tabla1[],2,FALSE),"")</f>
        <v>R01</v>
      </c>
      <c r="D18" s="45" t="str">
        <f>IFERROR(VLOOKUP(B18,Tabla1[],3,FALSE),"")</f>
        <v xml:space="preserve">Reclamación </v>
      </c>
      <c r="E18" s="45" t="str">
        <f>IFERROR(VLOOKUP(B18,Tabla1[],5,FALSE),"")</f>
        <v>T3</v>
      </c>
      <c r="F18" s="45">
        <f>IFERROR(VLOOKUP(B18,Tabla1[],6,FALSE),"")</f>
        <v>2022</v>
      </c>
      <c r="G18" s="45" t="str">
        <f>IFERROR(VLOOKUP(Tabla3[[#This Row],[No.]],Tabla1[],19,FALSE),"")</f>
        <v xml:space="preserve">Externo </v>
      </c>
      <c r="H18" s="45" t="str">
        <f>IFERROR(VLOOKUP(Tabla3[[#This Row],[No.]],Tabla1[],18,FALSE),"")</f>
        <v>Buzón Web</v>
      </c>
      <c r="I18" s="97" t="s">
        <v>80</v>
      </c>
      <c r="J18" s="97" t="s">
        <v>82</v>
      </c>
      <c r="K18" s="181" t="s">
        <v>83</v>
      </c>
      <c r="L18" s="54">
        <v>44788</v>
      </c>
      <c r="M18" s="54">
        <v>44790</v>
      </c>
      <c r="N18" s="97" t="s">
        <v>84</v>
      </c>
      <c r="O18" s="127" t="str">
        <f>IF(Tabla3[[#This Row],[Fecha de Fin ]]&lt;&gt;"","Cerrado","")</f>
        <v>Cerrado</v>
      </c>
      <c r="P18" s="114">
        <f>IFERROR(IF(+NETWORKDAYS(L18,M18,Hoja3!A9:A49)-1&gt;=0,+NETWORKDAYS(L18,M18,Hoja3!A9:A49)-1,""),"")</f>
        <v>1</v>
      </c>
      <c r="Q18" s="165" t="str" cm="1">
        <f t="array" ref="Q18">_xlfn.IFS(Tabla3[[#This Row],[Días CGR]]&lt;=15,"A tiempo",Tabla3[[#This Row],[Días CGR]]="","",Tabla3[[#This Row],[Días CGR]]&gt;15,"En retraso")</f>
        <v>A tiempo</v>
      </c>
      <c r="S18" s="37"/>
    </row>
    <row r="19" spans="2:19" ht="72">
      <c r="B19" s="113">
        <f t="shared" si="0"/>
        <v>10</v>
      </c>
      <c r="C19" s="45" t="str">
        <f>IFERROR(VLOOKUP(B19,Tabla1[],2,FALSE),"")</f>
        <v>R02</v>
      </c>
      <c r="D19" s="45" t="str">
        <f>IFERROR(VLOOKUP(B19,Tabla1[],3,FALSE),"")</f>
        <v xml:space="preserve">Reclamación </v>
      </c>
      <c r="E19" s="45" t="str">
        <f>IFERROR(VLOOKUP(B19,Tabla1[],5,FALSE),"")</f>
        <v>T3</v>
      </c>
      <c r="F19" s="45">
        <f>IFERROR(VLOOKUP(B19,Tabla1[],6,FALSE),"")</f>
        <v>2022</v>
      </c>
      <c r="G19" s="45" t="str">
        <f>IFERROR(VLOOKUP(Tabla3[[#This Row],[No.]],Tabla1[],19,FALSE),"")</f>
        <v xml:space="preserve">Externo </v>
      </c>
      <c r="H19" s="45" t="str">
        <f>IFERROR(VLOOKUP(Tabla3[[#This Row],[No.]],Tabla1[],18,FALSE),"")</f>
        <v>Buzón Web</v>
      </c>
      <c r="I19" s="97" t="s">
        <v>81</v>
      </c>
      <c r="J19" s="97" t="s">
        <v>86</v>
      </c>
      <c r="K19" s="181" t="s">
        <v>87</v>
      </c>
      <c r="L19" s="54">
        <v>44788</v>
      </c>
      <c r="M19" s="54">
        <v>44790</v>
      </c>
      <c r="N19" s="97" t="s">
        <v>74</v>
      </c>
      <c r="O19" s="127" t="str">
        <f>IF(Tabla3[[#This Row],[Fecha de Fin ]]&lt;&gt;"","Cerrado","")</f>
        <v>Cerrado</v>
      </c>
      <c r="P19" s="114">
        <f>IFERROR(IF(+NETWORKDAYS(L19,M19,Hoja3!A10:A50)-1&gt;=0,+NETWORKDAYS(L19,M19,Hoja3!A10:A50)-1,""),"")</f>
        <v>1</v>
      </c>
      <c r="Q19" s="165" t="str" cm="1">
        <f t="array" ref="Q19">_xlfn.IFS(Tabla3[[#This Row],[Días CGR]]&lt;=15,"A tiempo",Tabla3[[#This Row],[Días CGR]]="","",Tabla3[[#This Row],[Días CGR]]&gt;15,"En retraso")</f>
        <v>A tiempo</v>
      </c>
      <c r="S19" s="37"/>
    </row>
    <row r="20" spans="2:19">
      <c r="B20" s="113">
        <f t="shared" si="0"/>
        <v>11</v>
      </c>
      <c r="C20" s="45" t="str">
        <f>IFERROR(VLOOKUP(B20,Tabla1[],2,FALSE),"")</f>
        <v>S01</v>
      </c>
      <c r="D20" s="45" t="str">
        <f>IFERROR(VLOOKUP(B20,Tabla1[],3,FALSE),"")</f>
        <v xml:space="preserve">Sugerencia </v>
      </c>
      <c r="E20" s="45" t="str">
        <f>IFERROR(VLOOKUP(B20,Tabla1[],5,FALSE),"")</f>
        <v>T3</v>
      </c>
      <c r="F20" s="45">
        <f>IFERROR(VLOOKUP(B20,Tabla1[],6,FALSE),"")</f>
        <v>2022</v>
      </c>
      <c r="G20" s="45" t="str">
        <f>IFERROR(VLOOKUP(Tabla3[[#This Row],[No.]],Tabla1[],19,FALSE),"")</f>
        <v>Interno</v>
      </c>
      <c r="H20" s="45" t="str">
        <f>IFERROR(VLOOKUP(Tabla3[[#This Row],[No.]],Tabla1[],18,FALSE),"")</f>
        <v>Buzón Web</v>
      </c>
      <c r="I20" s="97"/>
      <c r="J20" s="97"/>
      <c r="K20" s="181"/>
      <c r="L20" s="45"/>
      <c r="M20" s="45"/>
      <c r="N20" s="47"/>
      <c r="O20" s="127" t="str">
        <f>IF(Tabla3[[#This Row],[Fecha de Fin ]]&lt;&gt;"","Cerrado","")</f>
        <v/>
      </c>
      <c r="P20" s="114" t="str">
        <f>IFERROR(IF(+NETWORKDAYS(L20,M20,Hoja3!A11:A51)-1&gt;=0,+NETWORKDAYS(L20,M20,Hoja3!A11:A51)-1,""),"")</f>
        <v/>
      </c>
      <c r="Q20" s="165" t="str" cm="1">
        <f t="array" ref="Q20">_xlfn.IFS(Tabla3[[#This Row],[Días CGR]]&lt;=15,"A tiempo",Tabla3[[#This Row],[Días CGR]]="","",Tabla3[[#This Row],[Días CGR]]&gt;15,"En retraso")</f>
        <v/>
      </c>
      <c r="S20" s="37"/>
    </row>
    <row r="21" spans="2:19" ht="115.2">
      <c r="B21" s="113">
        <f t="shared" si="0"/>
        <v>12</v>
      </c>
      <c r="C21" s="45" t="str">
        <f>IFERROR(VLOOKUP(B21,Tabla1[],2,FALSE),"")</f>
        <v>Q07</v>
      </c>
      <c r="D21" s="45" t="str">
        <f>IFERROR(VLOOKUP(B21,Tabla1[],3,FALSE),"")</f>
        <v>Queja</v>
      </c>
      <c r="E21" s="45" t="str">
        <f>IFERROR(VLOOKUP(B21,Tabla1[],5,FALSE),"")</f>
        <v>T3</v>
      </c>
      <c r="F21" s="45">
        <f>IFERROR(VLOOKUP(B21,Tabla1[],6,FALSE),"")</f>
        <v>2022</v>
      </c>
      <c r="G21" s="45" t="str">
        <f>IFERROR(VLOOKUP(Tabla3[[#This Row],[No.]],Tabla1[],19,FALSE),"")</f>
        <v xml:space="preserve">Externo </v>
      </c>
      <c r="H21" s="45" t="str">
        <f>IFERROR(VLOOKUP(Tabla3[[#This Row],[No.]],Tabla1[],18,FALSE),"")</f>
        <v>Buzón Web</v>
      </c>
      <c r="I21" s="97" t="s">
        <v>540</v>
      </c>
      <c r="J21" s="97" t="s">
        <v>539</v>
      </c>
      <c r="K21" s="181" t="s">
        <v>541</v>
      </c>
      <c r="L21" s="54">
        <v>44798</v>
      </c>
      <c r="M21" s="54">
        <v>44812</v>
      </c>
      <c r="N21" s="47" t="s">
        <v>190</v>
      </c>
      <c r="O21" s="127" t="str">
        <f>IF(Tabla3[[#This Row],[Fecha de Fin ]]&lt;&gt;"","Cerrado","")</f>
        <v>Cerrado</v>
      </c>
      <c r="P21" s="114">
        <f>IFERROR(IF(+NETWORKDAYS(L21,M21,Hoja3!A12:A52)-1&gt;=0,+NETWORKDAYS(L21,M21,Hoja3!A12:A52)-1,""),"")</f>
        <v>10</v>
      </c>
      <c r="Q21" s="165" t="str" cm="1">
        <f t="array" ref="Q21">_xlfn.IFS(Tabla3[[#This Row],[Días CGR]]&lt;=15,"A tiempo",Tabla3[[#This Row],[Días CGR]]="","",Tabla3[[#This Row],[Días CGR]]&gt;15,"En retraso")</f>
        <v>A tiempo</v>
      </c>
      <c r="S21" s="37"/>
    </row>
    <row r="22" spans="2:19" ht="28.8">
      <c r="B22" s="113">
        <f t="shared" si="0"/>
        <v>13</v>
      </c>
      <c r="C22" s="45" t="str">
        <f>IFERROR(VLOOKUP(B22,Tabla1[],2,FALSE),"")</f>
        <v>R03</v>
      </c>
      <c r="D22" s="45" t="str">
        <f>IFERROR(VLOOKUP(B22,Tabla1[],3,FALSE),"")</f>
        <v xml:space="preserve">Reclamación </v>
      </c>
      <c r="E22" s="45" t="str">
        <f>IFERROR(VLOOKUP(B22,Tabla1[],5,FALSE),"")</f>
        <v>T3</v>
      </c>
      <c r="F22" s="45">
        <f>IFERROR(VLOOKUP(B22,Tabla1[],6,FALSE),"")</f>
        <v>2022</v>
      </c>
      <c r="G22" s="45" t="str">
        <f>IFERROR(VLOOKUP(Tabla3[[#This Row],[No.]],Tabla1[],19,FALSE),"")</f>
        <v xml:space="preserve">Externo </v>
      </c>
      <c r="H22" s="45" t="str">
        <f>IFERROR(VLOOKUP(Tabla3[[#This Row],[No.]],Tabla1[],18,FALSE),"")</f>
        <v>Buzón Web</v>
      </c>
      <c r="I22" s="97" t="s">
        <v>115</v>
      </c>
      <c r="J22" s="97" t="s">
        <v>116</v>
      </c>
      <c r="K22" s="181" t="s">
        <v>117</v>
      </c>
      <c r="L22" s="54">
        <v>44799</v>
      </c>
      <c r="M22" s="54">
        <v>44799</v>
      </c>
      <c r="N22" s="47" t="s">
        <v>94</v>
      </c>
      <c r="O22" s="127" t="str">
        <f>IF(Tabla3[[#This Row],[Fecha de Fin ]]&lt;&gt;"","Cerrado","")</f>
        <v>Cerrado</v>
      </c>
      <c r="P22" s="114">
        <f>IFERROR(IF(+NETWORKDAYS(L22,M22,Hoja3!A13:A53)-1&gt;=0,+NETWORKDAYS(L22,M22,Hoja3!A13:A53)-1,""),"")</f>
        <v>0</v>
      </c>
      <c r="Q22" s="165" t="str" cm="1">
        <f t="array" ref="Q22">_xlfn.IFS(Tabla3[[#This Row],[Días CGR]]&lt;=15,"A tiempo",Tabla3[[#This Row],[Días CGR]]="","",Tabla3[[#This Row],[Días CGR]]&gt;15,"En retraso")</f>
        <v>A tiempo</v>
      </c>
      <c r="S22" s="37"/>
    </row>
    <row r="23" spans="2:19" ht="84.6" customHeight="1">
      <c r="B23" s="113">
        <f t="shared" si="0"/>
        <v>14</v>
      </c>
      <c r="C23" s="45" t="str">
        <f>IFERROR(VLOOKUP(B23,Tabla1[],2,FALSE),"")</f>
        <v>R04</v>
      </c>
      <c r="D23" s="45" t="str">
        <f>IFERROR(VLOOKUP(B23,Tabla1[],3,FALSE),"")</f>
        <v xml:space="preserve">Reclamación </v>
      </c>
      <c r="E23" s="45" t="str">
        <f>IFERROR(VLOOKUP(B23,Tabla1[],5,FALSE),"")</f>
        <v>T3</v>
      </c>
      <c r="F23" s="45">
        <f>IFERROR(VLOOKUP(B23,Tabla1[],6,FALSE),"")</f>
        <v>2022</v>
      </c>
      <c r="G23" s="45" t="str">
        <f>IFERROR(VLOOKUP(Tabla3[[#This Row],[No.]],Tabla1[],19,FALSE),"")</f>
        <v xml:space="preserve">Externo </v>
      </c>
      <c r="H23" s="45" t="str">
        <f>IFERROR(VLOOKUP(Tabla3[[#This Row],[No.]],Tabla1[],18,FALSE),"")</f>
        <v>Buzón Web</v>
      </c>
      <c r="I23" s="97" t="s">
        <v>543</v>
      </c>
      <c r="J23" s="97" t="s">
        <v>477</v>
      </c>
      <c r="K23" s="97" t="s">
        <v>684</v>
      </c>
      <c r="L23" s="54">
        <v>44811</v>
      </c>
      <c r="M23" s="54">
        <v>44811</v>
      </c>
      <c r="N23" s="47" t="s">
        <v>409</v>
      </c>
      <c r="O23" s="127" t="str">
        <f>IF(Tabla3[[#This Row],[Fecha de Fin ]]&lt;&gt;"","Cerrado","")</f>
        <v>Cerrado</v>
      </c>
      <c r="P23" s="114">
        <f>IFERROR(IF(+NETWORKDAYS(L23,M23,Hoja3!A14:A54)-1&gt;=0,+NETWORKDAYS(L23,M23,Hoja3!A14:A54)-1,""),"")</f>
        <v>0</v>
      </c>
      <c r="Q23" s="165" t="str" cm="1">
        <f t="array" ref="Q23">_xlfn.IFS(Tabla3[[#This Row],[Días CGR]]&lt;=15,"A tiempo",Tabla3[[#This Row],[Días CGR]]="","",Tabla3[[#This Row],[Días CGR]]&gt;15,"En retraso")</f>
        <v>A tiempo</v>
      </c>
      <c r="S23" s="37"/>
    </row>
    <row r="24" spans="2:19" ht="72">
      <c r="B24" s="113">
        <f t="shared" si="0"/>
        <v>15</v>
      </c>
      <c r="C24" s="45" t="str">
        <f>IFERROR(VLOOKUP(B24,Tabla1[],2,FALSE),"")</f>
        <v>R05</v>
      </c>
      <c r="D24" s="45" t="str">
        <f>IFERROR(VLOOKUP(B24,Tabla1[],3,FALSE),"")</f>
        <v xml:space="preserve">Reclamación </v>
      </c>
      <c r="E24" s="45" t="str">
        <f>IFERROR(VLOOKUP(B24,Tabla1[],5,FALSE),"")</f>
        <v>T3</v>
      </c>
      <c r="F24" s="45">
        <f>IFERROR(VLOOKUP(B24,Tabla1[],6,FALSE),"")</f>
        <v>2022</v>
      </c>
      <c r="G24" s="45" t="str">
        <f>IFERROR(VLOOKUP(Tabla3[[#This Row],[No.]],Tabla1[],19,FALSE),"")</f>
        <v xml:space="preserve">Externo </v>
      </c>
      <c r="H24" s="45" t="str">
        <f>IFERROR(VLOOKUP(Tabla3[[#This Row],[No.]],Tabla1[],18,FALSE),"")</f>
        <v>Buzón Web</v>
      </c>
      <c r="I24" s="97" t="s">
        <v>153</v>
      </c>
      <c r="J24" s="97" t="s">
        <v>154</v>
      </c>
      <c r="K24" s="181" t="s">
        <v>155</v>
      </c>
      <c r="L24" s="54">
        <v>44810</v>
      </c>
      <c r="M24" s="54">
        <v>44810</v>
      </c>
      <c r="N24" s="47" t="s">
        <v>94</v>
      </c>
      <c r="O24" s="127" t="str">
        <f>IF(Tabla3[[#This Row],[Fecha de Fin ]]&lt;&gt;"","Cerrado","")</f>
        <v>Cerrado</v>
      </c>
      <c r="P24" s="114">
        <f>IFERROR(IF(+NETWORKDAYS(L24,M24,Hoja3!A15:A55)-1&gt;=0,+NETWORKDAYS(L24,M24,Hoja3!A15:A55)-1,""),"")</f>
        <v>0</v>
      </c>
      <c r="Q24" s="165" t="str" cm="1">
        <f t="array" ref="Q24">_xlfn.IFS(Tabla3[[#This Row],[Días CGR]]&lt;=15,"A tiempo",Tabla3[[#This Row],[Días CGR]]="","",Tabla3[[#This Row],[Días CGR]]&gt;15,"En retraso")</f>
        <v>A tiempo</v>
      </c>
      <c r="S24" s="37"/>
    </row>
    <row r="25" spans="2:19" ht="58.2" customHeight="1">
      <c r="B25" s="113">
        <f t="shared" si="0"/>
        <v>16</v>
      </c>
      <c r="C25" s="45" t="str">
        <f>IFERROR(VLOOKUP(B25,Tabla1[],2,FALSE),"")</f>
        <v>R06</v>
      </c>
      <c r="D25" s="45" t="str">
        <f>IFERROR(VLOOKUP(B25,Tabla1[],3,FALSE),"")</f>
        <v xml:space="preserve">Reclamación </v>
      </c>
      <c r="E25" s="45" t="str">
        <f>IFERROR(VLOOKUP(B25,Tabla1[],5,FALSE),"")</f>
        <v>T3</v>
      </c>
      <c r="F25" s="45">
        <f>IFERROR(VLOOKUP(B25,Tabla1[],6,FALSE),"")</f>
        <v>2022</v>
      </c>
      <c r="G25" s="45" t="str">
        <f>IFERROR(VLOOKUP(Tabla3[[#This Row],[No.]],Tabla1[],19,FALSE),"")</f>
        <v xml:space="preserve">Externo </v>
      </c>
      <c r="H25" s="45" t="str">
        <f>IFERROR(VLOOKUP(Tabla3[[#This Row],[No.]],Tabla1[],18,FALSE),"")</f>
        <v>Buzón Web</v>
      </c>
      <c r="I25" s="97" t="s">
        <v>134</v>
      </c>
      <c r="J25" s="97" t="s">
        <v>135</v>
      </c>
      <c r="K25" s="181" t="s">
        <v>136</v>
      </c>
      <c r="L25" s="54">
        <v>44810</v>
      </c>
      <c r="M25" s="54">
        <v>44811</v>
      </c>
      <c r="N25" s="47" t="s">
        <v>94</v>
      </c>
      <c r="O25" s="127" t="str">
        <f>IF(Tabla3[[#This Row],[Fecha de Fin ]]&lt;&gt;"","Cerrado","")</f>
        <v>Cerrado</v>
      </c>
      <c r="P25" s="114">
        <f>IFERROR(IF(+NETWORKDAYS(L25,M25,Hoja3!A16:A56)-1&gt;=0,+NETWORKDAYS(L25,M25,Hoja3!A16:A56)-1,""),"")</f>
        <v>1</v>
      </c>
      <c r="Q25" s="165" t="str" cm="1">
        <f t="array" ref="Q25">_xlfn.IFS(Tabla3[[#This Row],[Días CGR]]&lt;=15,"A tiempo",Tabla3[[#This Row],[Días CGR]]="","",Tabla3[[#This Row],[Días CGR]]&gt;15,"En retraso")</f>
        <v>A tiempo</v>
      </c>
      <c r="S25" s="37"/>
    </row>
    <row r="26" spans="2:19">
      <c r="B26" s="113">
        <f t="shared" si="0"/>
        <v>17</v>
      </c>
      <c r="C26" s="45" t="str">
        <f>IFERROR(VLOOKUP(B26,Tabla1[],2,FALSE),"")</f>
        <v>Q08</v>
      </c>
      <c r="D26" s="45" t="str">
        <f>IFERROR(VLOOKUP(B26,Tabla1[],3,FALSE),"")</f>
        <v>Queja</v>
      </c>
      <c r="E26" s="45" t="str">
        <f>IFERROR(VLOOKUP(B26,Tabla1[],5,FALSE),"")</f>
        <v>T3</v>
      </c>
      <c r="F26" s="45">
        <f>IFERROR(VLOOKUP(B26,Tabla1[],6,FALSE),"")</f>
        <v>2022</v>
      </c>
      <c r="G26" s="45" t="str">
        <f>IFERROR(VLOOKUP(Tabla3[[#This Row],[No.]],Tabla1[],19,FALSE),"")</f>
        <v>Interno</v>
      </c>
      <c r="H26" s="45" t="str">
        <f>IFERROR(VLOOKUP(Tabla3[[#This Row],[No.]],Tabla1[],18,FALSE),"")</f>
        <v>Buzón Físico</v>
      </c>
      <c r="I26" s="97"/>
      <c r="J26" s="97"/>
      <c r="K26" s="181"/>
      <c r="L26" s="45"/>
      <c r="M26" s="45"/>
      <c r="N26" s="47" t="s">
        <v>78</v>
      </c>
      <c r="O26" s="127" t="str">
        <f>IF(Tabla3[[#This Row],[Fecha de Fin ]]&lt;&gt;"","Cerrado","")</f>
        <v/>
      </c>
      <c r="P26" s="114" t="str">
        <f>IFERROR(IF(+NETWORKDAYS(L26,M26,Hoja3!A17:A57)-1&gt;=0,+NETWORKDAYS(L26,M26,Hoja3!A17:A57)-1,""),"")</f>
        <v/>
      </c>
      <c r="Q26" s="165" t="str" cm="1">
        <f t="array" ref="Q26">_xlfn.IFS(Tabla3[[#This Row],[Días CGR]]&lt;=15,"A tiempo",Tabla3[[#This Row],[Días CGR]]="","",Tabla3[[#This Row],[Días CGR]]&gt;15,"En retraso")</f>
        <v/>
      </c>
      <c r="S26" s="37"/>
    </row>
    <row r="27" spans="2:19" ht="86.4">
      <c r="B27" s="113">
        <f t="shared" si="0"/>
        <v>18</v>
      </c>
      <c r="C27" s="45" t="str">
        <f>IFERROR(VLOOKUP(B27,Tabla1[],2,FALSE),"")</f>
        <v>R07</v>
      </c>
      <c r="D27" s="45" t="str">
        <f>IFERROR(VLOOKUP(B27,Tabla1[],3,FALSE),"")</f>
        <v xml:space="preserve">Reclamación </v>
      </c>
      <c r="E27" s="45" t="str">
        <f>IFERROR(VLOOKUP(B27,Tabla1[],5,FALSE),"")</f>
        <v>T3</v>
      </c>
      <c r="F27" s="45">
        <f>IFERROR(VLOOKUP(B27,Tabla1[],6,FALSE),"")</f>
        <v>2022</v>
      </c>
      <c r="G27" s="45" t="str">
        <f>IFERROR(VLOOKUP(Tabla3[[#This Row],[No.]],Tabla1[],19,FALSE),"")</f>
        <v xml:space="preserve">Externo </v>
      </c>
      <c r="H27" s="45" t="str">
        <f>IFERROR(VLOOKUP(Tabla3[[#This Row],[No.]],Tabla1[],18,FALSE),"")</f>
        <v>Buzón Web</v>
      </c>
      <c r="I27" s="97" t="s">
        <v>685</v>
      </c>
      <c r="J27" s="97" t="s">
        <v>477</v>
      </c>
      <c r="K27" s="97" t="s">
        <v>684</v>
      </c>
      <c r="L27" s="54">
        <v>44812</v>
      </c>
      <c r="M27" s="54">
        <v>44812</v>
      </c>
      <c r="N27" s="47" t="s">
        <v>409</v>
      </c>
      <c r="O27" s="127" t="str">
        <f>IF(Tabla3[[#This Row],[Fecha de Fin ]]&lt;&gt;"","Cerrado","")</f>
        <v>Cerrado</v>
      </c>
      <c r="P27" s="114">
        <f>IFERROR(IF(+NETWORKDAYS(L27,M27,Hoja3!A18:A58)-1&gt;=0,+NETWORKDAYS(L27,M27,Hoja3!A18:A58)-1,""),"")</f>
        <v>0</v>
      </c>
      <c r="Q27" s="165" t="str" cm="1">
        <f t="array" ref="Q27">_xlfn.IFS(Tabla3[[#This Row],[Días CGR]]&lt;=15,"A tiempo",Tabla3[[#This Row],[Días CGR]]="","",Tabla3[[#This Row],[Días CGR]]&gt;15,"En retraso")</f>
        <v>A tiempo</v>
      </c>
      <c r="S27" s="37"/>
    </row>
    <row r="28" spans="2:19" ht="82.8" customHeight="1">
      <c r="B28" s="113">
        <f t="shared" si="0"/>
        <v>19</v>
      </c>
      <c r="C28" s="45" t="str">
        <f>IFERROR(VLOOKUP(B28,Tabla1[],2,FALSE),"")</f>
        <v>Q09</v>
      </c>
      <c r="D28" s="45" t="str">
        <f>IFERROR(VLOOKUP(B28,Tabla1[],3,FALSE),"")</f>
        <v>Queja</v>
      </c>
      <c r="E28" s="45" t="str">
        <f>IFERROR(VLOOKUP(B28,Tabla1[],5,FALSE),"")</f>
        <v>T3</v>
      </c>
      <c r="F28" s="45">
        <f>IFERROR(VLOOKUP(B28,Tabla1[],6,FALSE),"")</f>
        <v>2022</v>
      </c>
      <c r="G28" s="45" t="str">
        <f>IFERROR(VLOOKUP(Tabla3[[#This Row],[No.]],Tabla1[],19,FALSE),"")</f>
        <v>Interno</v>
      </c>
      <c r="H28" s="45" t="str">
        <f>IFERROR(VLOOKUP(Tabla3[[#This Row],[No.]],Tabla1[],18,FALSE),"")</f>
        <v>Buzón Físico</v>
      </c>
      <c r="I28" s="97" t="s">
        <v>181</v>
      </c>
      <c r="J28" s="97" t="s">
        <v>182</v>
      </c>
      <c r="K28" s="97" t="s">
        <v>183</v>
      </c>
      <c r="L28" s="54">
        <v>44812</v>
      </c>
      <c r="M28" s="54">
        <v>44833</v>
      </c>
      <c r="N28" s="47" t="s">
        <v>590</v>
      </c>
      <c r="O28" s="127" t="str">
        <f>IF(Tabla3[[#This Row],[Fecha de Fin ]]&lt;&gt;"","Cerrado","")</f>
        <v>Cerrado</v>
      </c>
      <c r="P28" s="114">
        <f>IFERROR(IF(+NETWORKDAYS(L28,M28,Hoja3!A19:A59)-1&gt;=0,+NETWORKDAYS(L28,M28,Hoja3!A19:A59)-1,""),"")</f>
        <v>14</v>
      </c>
      <c r="Q28" s="165" t="str" cm="1">
        <f t="array" ref="Q28">_xlfn.IFS(Tabla3[[#This Row],[Días CGR]]&lt;=15,"A tiempo",Tabla3[[#This Row],[Días CGR]]="","",Tabla3[[#This Row],[Días CGR]]&gt;15,"En retraso")</f>
        <v>A tiempo</v>
      </c>
      <c r="S28" s="37"/>
    </row>
    <row r="29" spans="2:19" ht="81" customHeight="1">
      <c r="B29" s="113">
        <f t="shared" si="0"/>
        <v>20</v>
      </c>
      <c r="C29" s="45" t="str">
        <f>IFERROR(VLOOKUP(B29,Tabla1[],2,FALSE),"")</f>
        <v>Q10</v>
      </c>
      <c r="D29" s="45" t="str">
        <f>IFERROR(VLOOKUP(B29,Tabla1[],3,FALSE),"")</f>
        <v>Queja</v>
      </c>
      <c r="E29" s="45" t="str">
        <f>IFERROR(VLOOKUP(B29,Tabla1[],5,FALSE),"")</f>
        <v>T3</v>
      </c>
      <c r="F29" s="45">
        <f>IFERROR(VLOOKUP(B29,Tabla1[],6,FALSE),"")</f>
        <v>2022</v>
      </c>
      <c r="G29" s="45" t="str">
        <f>IFERROR(VLOOKUP(Tabla3[[#This Row],[No.]],Tabla1[],19,FALSE),"")</f>
        <v xml:space="preserve">Interno </v>
      </c>
      <c r="H29" s="45" t="str">
        <f>IFERROR(VLOOKUP(Tabla3[[#This Row],[No.]],Tabla1[],18,FALSE),"")</f>
        <v>Buzón Web</v>
      </c>
      <c r="I29" s="97" t="s">
        <v>589</v>
      </c>
      <c r="J29" s="97" t="s">
        <v>588</v>
      </c>
      <c r="K29" s="97" t="s">
        <v>79</v>
      </c>
      <c r="L29" s="54">
        <v>44816</v>
      </c>
      <c r="M29" s="54">
        <v>44816</v>
      </c>
      <c r="N29" s="47" t="s">
        <v>94</v>
      </c>
      <c r="O29" s="127" t="str">
        <f>IF(Tabla3[[#This Row],[Fecha de Fin ]]&lt;&gt;"","Cerrado","")</f>
        <v>Cerrado</v>
      </c>
      <c r="P29" s="114">
        <f>IFERROR(IF(+NETWORKDAYS(L29,M29,Hoja3!A20:A60)-1&gt;=0,+NETWORKDAYS(L29,M29,Hoja3!A20:A60)-1,""),"")</f>
        <v>0</v>
      </c>
      <c r="Q29" s="165" t="str" cm="1">
        <f t="array" ref="Q29">_xlfn.IFS(Tabla3[[#This Row],[Días CGR]]&lt;=15,"A tiempo",Tabla3[[#This Row],[Días CGR]]="","",Tabla3[[#This Row],[Días CGR]]&gt;15,"En retraso")</f>
        <v>A tiempo</v>
      </c>
      <c r="S29" s="37"/>
    </row>
    <row r="30" spans="2:19" ht="72">
      <c r="B30" s="113">
        <f t="shared" si="0"/>
        <v>21</v>
      </c>
      <c r="C30" s="45" t="str">
        <f>IFERROR(VLOOKUP(B30,Tabla1[],2,FALSE),"")</f>
        <v>R08</v>
      </c>
      <c r="D30" s="45" t="str">
        <f>IFERROR(VLOOKUP(B30,Tabla1[],3,FALSE),"")</f>
        <v xml:space="preserve">Reclamación </v>
      </c>
      <c r="E30" s="45" t="str">
        <f>IFERROR(VLOOKUP(B30,Tabla1[],5,FALSE),"")</f>
        <v>T3</v>
      </c>
      <c r="F30" s="45">
        <f>IFERROR(VLOOKUP(B30,Tabla1[],6,FALSE),"")</f>
        <v>2022</v>
      </c>
      <c r="G30" s="45" t="str">
        <f>IFERROR(VLOOKUP(Tabla3[[#This Row],[No.]],Tabla1[],19,FALSE),"")</f>
        <v xml:space="preserve">Externo </v>
      </c>
      <c r="H30" s="45" t="str">
        <f>IFERROR(VLOOKUP(Tabla3[[#This Row],[No.]],Tabla1[],18,FALSE),"")</f>
        <v>Buzón Web</v>
      </c>
      <c r="I30" s="125" t="s">
        <v>188</v>
      </c>
      <c r="J30" s="97" t="s">
        <v>189</v>
      </c>
      <c r="K30" s="181" t="s">
        <v>187</v>
      </c>
      <c r="L30" s="54">
        <v>44827</v>
      </c>
      <c r="M30" s="54">
        <v>44831</v>
      </c>
      <c r="N30" s="47" t="s">
        <v>94</v>
      </c>
      <c r="O30" s="127" t="str">
        <f>IF(Tabla3[[#This Row],[Fecha de Fin ]]&lt;&gt;"","Cerrado","")</f>
        <v>Cerrado</v>
      </c>
      <c r="P30" s="114">
        <f>IFERROR(IF(+NETWORKDAYS(L30,M30,Hoja3!A21:A61)-1&gt;=0,+NETWORKDAYS(L30,M30,Hoja3!A21:A61)-1,""),"")</f>
        <v>2</v>
      </c>
      <c r="Q30" s="165" t="str" cm="1">
        <f t="array" ref="Q30">_xlfn.IFS(Tabla3[[#This Row],[Días CGR]]&lt;=15,"A tiempo",Tabla3[[#This Row],[Días CGR]]="","",Tabla3[[#This Row],[Días CGR]]&gt;15,"En retraso")</f>
        <v>A tiempo</v>
      </c>
      <c r="S30" s="37"/>
    </row>
    <row r="31" spans="2:19" ht="86.4">
      <c r="B31" s="113">
        <f t="shared" si="0"/>
        <v>22</v>
      </c>
      <c r="C31" s="45" t="str">
        <f>IFERROR(VLOOKUP(B31,Tabla1[],2,FALSE),"")</f>
        <v>R09</v>
      </c>
      <c r="D31" s="45" t="str">
        <f>IFERROR(VLOOKUP(B31,Tabla1[],3,FALSE),"")</f>
        <v xml:space="preserve">Reclamación </v>
      </c>
      <c r="E31" s="45" t="str">
        <f>IFERROR(VLOOKUP(B31,Tabla1[],5,FALSE),"")</f>
        <v>T3</v>
      </c>
      <c r="F31" s="45">
        <f>IFERROR(VLOOKUP(B31,Tabla1[],6,FALSE),"")</f>
        <v>2022</v>
      </c>
      <c r="G31" s="45" t="str">
        <f>IFERROR(VLOOKUP(Tabla3[[#This Row],[No.]],Tabla1[],19,FALSE),"")</f>
        <v xml:space="preserve">Externo </v>
      </c>
      <c r="H31" s="45" t="str">
        <f>IFERROR(VLOOKUP(Tabla3[[#This Row],[No.]],Tabla1[],18,FALSE),"")</f>
        <v>Buzón Web</v>
      </c>
      <c r="I31" s="97" t="s">
        <v>185</v>
      </c>
      <c r="J31" s="97" t="s">
        <v>186</v>
      </c>
      <c r="K31" s="181" t="s">
        <v>187</v>
      </c>
      <c r="L31" s="54">
        <v>44830</v>
      </c>
      <c r="M31" s="54">
        <v>44831</v>
      </c>
      <c r="N31" s="47" t="s">
        <v>94</v>
      </c>
      <c r="O31" s="127" t="str">
        <f>IF(Tabla3[[#This Row],[Fecha de Fin ]]&lt;&gt;"","Cerrado","")</f>
        <v>Cerrado</v>
      </c>
      <c r="P31" s="114">
        <f>IFERROR(IF(+NETWORKDAYS(L31,M31,Hoja3!A22:A62)-1&gt;=0,+NETWORKDAYS(L31,M31,Hoja3!A22:A62)-1,""),"")</f>
        <v>1</v>
      </c>
      <c r="Q31" s="165" t="str" cm="1">
        <f t="array" ref="Q31">_xlfn.IFS(Tabla3[[#This Row],[Días CGR]]&lt;=15,"A tiempo",Tabla3[[#This Row],[Días CGR]]="","",Tabla3[[#This Row],[Días CGR]]&gt;15,"En retraso")</f>
        <v>A tiempo</v>
      </c>
      <c r="S31" s="37"/>
    </row>
    <row r="32" spans="2:19" ht="86.4">
      <c r="B32" s="113">
        <f t="shared" si="0"/>
        <v>23</v>
      </c>
      <c r="C32" s="45" t="str">
        <f>IFERROR(VLOOKUP(B32,Tabla1[],2,FALSE),"")</f>
        <v>R10</v>
      </c>
      <c r="D32" s="45" t="str">
        <f>IFERROR(VLOOKUP(B32,Tabla1[],3,FALSE),"")</f>
        <v xml:space="preserve">Reclamación </v>
      </c>
      <c r="E32" s="45" t="str">
        <f>IFERROR(VLOOKUP(B32,Tabla1[],5,FALSE),"")</f>
        <v>T3</v>
      </c>
      <c r="F32" s="45">
        <f>IFERROR(VLOOKUP(B32,Tabla1[],6,FALSE),"")</f>
        <v>2022</v>
      </c>
      <c r="G32" s="45" t="str">
        <f>IFERROR(VLOOKUP(Tabla3[[#This Row],[No.]],Tabla1[],19,FALSE),"")</f>
        <v xml:space="preserve">Externo </v>
      </c>
      <c r="H32" s="45" t="str">
        <f>IFERROR(VLOOKUP(Tabla3[[#This Row],[No.]],Tabla1[],18,FALSE),"")</f>
        <v>Buzón Web</v>
      </c>
      <c r="I32" s="97" t="s">
        <v>481</v>
      </c>
      <c r="J32" s="97" t="s">
        <v>477</v>
      </c>
      <c r="K32" s="181" t="s">
        <v>495</v>
      </c>
      <c r="L32" s="54">
        <v>44833</v>
      </c>
      <c r="M32" s="54">
        <v>44834</v>
      </c>
      <c r="N32" s="47" t="s">
        <v>94</v>
      </c>
      <c r="O32" s="127" t="str">
        <f>IF(Tabla3[[#This Row],[Fecha de Fin ]]&lt;&gt;"","Cerrado","")</f>
        <v>Cerrado</v>
      </c>
      <c r="P32" s="114">
        <f>IFERROR(IF(+NETWORKDAYS(L32,M32,Hoja3!A23:A63)-1&gt;=0,+NETWORKDAYS(L32,M32,Hoja3!A23:A63)-1,""),"")</f>
        <v>1</v>
      </c>
      <c r="Q32" s="165" t="str" cm="1">
        <f t="array" ref="Q32">_xlfn.IFS(Tabla3[[#This Row],[Días CGR]]&lt;=15,"A tiempo",Tabla3[[#This Row],[Días CGR]]="","",Tabla3[[#This Row],[Días CGR]]&gt;15,"En retraso")</f>
        <v>A tiempo</v>
      </c>
      <c r="S32" s="37"/>
    </row>
    <row r="33" spans="1:19" ht="43.2">
      <c r="B33" s="113">
        <f t="shared" si="0"/>
        <v>24</v>
      </c>
      <c r="C33" s="45" t="str">
        <f>IFERROR(VLOOKUP(B33,Tabla1[],2,FALSE),"")</f>
        <v>Q11</v>
      </c>
      <c r="D33" s="45" t="str">
        <f>IFERROR(VLOOKUP(B33,Tabla1[],3,FALSE),"")</f>
        <v>Queja</v>
      </c>
      <c r="E33" s="45" t="str">
        <f>IFERROR(VLOOKUP(B33,Tabla1[],5,FALSE),"")</f>
        <v>T4</v>
      </c>
      <c r="F33" s="45">
        <f>IFERROR(VLOOKUP(B33,Tabla1[],6,FALSE),"")</f>
        <v>2022</v>
      </c>
      <c r="G33" s="45" t="str">
        <f>IFERROR(VLOOKUP(Tabla3[[#This Row],[No.]],Tabla1[],19,FALSE),"")</f>
        <v xml:space="preserve">Externo </v>
      </c>
      <c r="H33" s="45" t="str">
        <f>IFERROR(VLOOKUP(Tabla3[[#This Row],[No.]],Tabla1[],18,FALSE),"")</f>
        <v>Correo Electrónico</v>
      </c>
      <c r="I33" s="97" t="s">
        <v>209</v>
      </c>
      <c r="J33" s="97" t="s">
        <v>210</v>
      </c>
      <c r="K33" s="181" t="s">
        <v>211</v>
      </c>
      <c r="L33" s="54">
        <v>44840</v>
      </c>
      <c r="M33" s="54">
        <v>44841</v>
      </c>
      <c r="N33" s="47" t="s">
        <v>88</v>
      </c>
      <c r="O33" s="127" t="str">
        <f>IF(Tabla3[[#This Row],[Fecha de Fin ]]&lt;&gt;"","Cerrado","")</f>
        <v>Cerrado</v>
      </c>
      <c r="P33" s="114">
        <f>IFERROR(IF(+NETWORKDAYS(L33,M33,Hoja3!A24:A64)-1&gt;=0,+NETWORKDAYS(L33,M33,Hoja3!A24:A64)-1,""),"")</f>
        <v>1</v>
      </c>
      <c r="Q33" s="165" t="str" cm="1">
        <f t="array" ref="Q33">_xlfn.IFS(Tabla3[[#This Row],[Días CGR]]&lt;=15,"A tiempo",Tabla3[[#This Row],[Días CGR]]="","",Tabla3[[#This Row],[Días CGR]]&gt;15,"En retraso")</f>
        <v>A tiempo</v>
      </c>
      <c r="S33" s="37"/>
    </row>
    <row r="34" spans="1:19" ht="68.400000000000006" customHeight="1">
      <c r="B34" s="113">
        <f t="shared" si="0"/>
        <v>25</v>
      </c>
      <c r="C34" s="45" t="str">
        <f>IFERROR(VLOOKUP(B34,Tabla1[],2,FALSE),"")</f>
        <v>S02</v>
      </c>
      <c r="D34" s="45" t="str">
        <f>IFERROR(VLOOKUP(B34,Tabla1[],3,FALSE),"")</f>
        <v xml:space="preserve">Sugerencia </v>
      </c>
      <c r="E34" s="45" t="str">
        <f>IFERROR(VLOOKUP(B34,Tabla1[],5,FALSE),"")</f>
        <v>T4</v>
      </c>
      <c r="F34" s="45">
        <f>IFERROR(VLOOKUP(B34,Tabla1[],6,FALSE),"")</f>
        <v>2022</v>
      </c>
      <c r="G34" s="45" t="str">
        <f>IFERROR(VLOOKUP(Tabla3[[#This Row],[No.]],Tabla1[],19,FALSE),"")</f>
        <v xml:space="preserve">Externo </v>
      </c>
      <c r="H34" s="45" t="str">
        <f>IFERROR(VLOOKUP(Tabla3[[#This Row],[No.]],Tabla1[],18,FALSE),"")</f>
        <v>Buzón Web</v>
      </c>
      <c r="I34" s="97" t="s">
        <v>528</v>
      </c>
      <c r="J34" s="97" t="s">
        <v>409</v>
      </c>
      <c r="K34" s="97" t="s">
        <v>409</v>
      </c>
      <c r="L34" s="46" t="s">
        <v>409</v>
      </c>
      <c r="M34" s="46" t="s">
        <v>409</v>
      </c>
      <c r="N34" s="125" t="s">
        <v>409</v>
      </c>
      <c r="O34" s="127" t="str">
        <f>IF(Tabla3[[#This Row],[Fecha de Fin ]]&lt;&gt;"","Cerrado","")</f>
        <v>Cerrado</v>
      </c>
      <c r="P34" s="114" t="str">
        <f>IFERROR(IF(+NETWORKDAYS(L34,M34,Hoja3!A25:A65)-1&gt;=0,+NETWORKDAYS(L34,M34,Hoja3!A25:A65)-1,""),"")</f>
        <v/>
      </c>
      <c r="Q34" s="165" t="str" cm="1">
        <f t="array" ref="Q34">_xlfn.IFS(Tabla3[[#This Row],[Días CGR]]&lt;=15,"A tiempo",Tabla3[[#This Row],[Días CGR]]="","",Tabla3[[#This Row],[Días CGR]]&gt;15,"En retraso")</f>
        <v/>
      </c>
      <c r="S34" s="37"/>
    </row>
    <row r="35" spans="1:19" ht="86.4">
      <c r="B35" s="113">
        <f t="shared" si="0"/>
        <v>26</v>
      </c>
      <c r="C35" s="45" t="str">
        <f>IFERROR(VLOOKUP(B35,Tabla1[],2,FALSE),"")</f>
        <v>R11</v>
      </c>
      <c r="D35" s="45" t="str">
        <f>IFERROR(VLOOKUP(B35,Tabla1[],3,FALSE),"")</f>
        <v xml:space="preserve">Reclamación </v>
      </c>
      <c r="E35" s="45" t="str">
        <f>IFERROR(VLOOKUP(B35,Tabla1[],5,FALSE),"")</f>
        <v>T4</v>
      </c>
      <c r="F35" s="45">
        <f>IFERROR(VLOOKUP(B35,Tabla1[],6,FALSE),"")</f>
        <v>2022</v>
      </c>
      <c r="G35" s="45" t="str">
        <f>IFERROR(VLOOKUP(Tabla3[[#This Row],[No.]],Tabla1[],19,FALSE),"")</f>
        <v xml:space="preserve">Externo </v>
      </c>
      <c r="H35" s="45" t="str">
        <f>IFERROR(VLOOKUP(Tabla3[[#This Row],[No.]],Tabla1[],18,FALSE),"")</f>
        <v>Buzón Web</v>
      </c>
      <c r="I35" s="97" t="s">
        <v>520</v>
      </c>
      <c r="J35" s="97" t="s">
        <v>521</v>
      </c>
      <c r="K35" s="181" t="s">
        <v>522</v>
      </c>
      <c r="L35" s="54">
        <v>44840</v>
      </c>
      <c r="M35" s="54">
        <v>44841</v>
      </c>
      <c r="N35" s="47" t="s">
        <v>94</v>
      </c>
      <c r="O35" s="127" t="str">
        <f>IF(Tabla3[[#This Row],[Fecha de Fin ]]&lt;&gt;"","Cerrado","")</f>
        <v>Cerrado</v>
      </c>
      <c r="P35" s="114">
        <f>IFERROR(IF(+NETWORKDAYS(L35,M35,Hoja3!A26:A66)-1&gt;=0,+NETWORKDAYS(L35,M35,Hoja3!A26:A66)-1,""),"")</f>
        <v>1</v>
      </c>
      <c r="Q35" s="165" t="str" cm="1">
        <f t="array" ref="Q35">_xlfn.IFS(Tabla3[[#This Row],[Días CGR]]&lt;=15,"A tiempo",Tabla3[[#This Row],[Días CGR]]="","",Tabla3[[#This Row],[Días CGR]]&gt;15,"En retraso")</f>
        <v>A tiempo</v>
      </c>
      <c r="S35" s="37"/>
    </row>
    <row r="36" spans="1:19" ht="57.6">
      <c r="B36" s="113">
        <f t="shared" si="0"/>
        <v>27</v>
      </c>
      <c r="C36" s="45" t="str">
        <f>IFERROR(VLOOKUP(B36,Tabla1[],2,FALSE),"")</f>
        <v>R12</v>
      </c>
      <c r="D36" s="45" t="str">
        <f>IFERROR(VLOOKUP(B36,Tabla1[],3,FALSE),"")</f>
        <v xml:space="preserve">Reclamación </v>
      </c>
      <c r="E36" s="45" t="str">
        <f>IFERROR(VLOOKUP(B36,Tabla1[],5,FALSE),"")</f>
        <v>T4</v>
      </c>
      <c r="F36" s="56">
        <f>IFERROR(VLOOKUP(B36,Tabla1[],6,FALSE),"")</f>
        <v>2022</v>
      </c>
      <c r="G36" s="45" t="str">
        <f>IFERROR(VLOOKUP(Tabla3[[#This Row],[No.]],Tabla1[],19,FALSE),"")</f>
        <v xml:space="preserve">Externo </v>
      </c>
      <c r="H36" s="45" t="str">
        <f>IFERROR(VLOOKUP(Tabla3[[#This Row],[No.]],Tabla1[],18,FALSE),"")</f>
        <v>Buzón Web</v>
      </c>
      <c r="I36" s="97" t="s">
        <v>512</v>
      </c>
      <c r="J36" s="97" t="s">
        <v>519</v>
      </c>
      <c r="K36" s="181" t="s">
        <v>249</v>
      </c>
      <c r="L36" s="54">
        <v>44848</v>
      </c>
      <c r="M36" s="54">
        <v>44848</v>
      </c>
      <c r="N36" s="47" t="s">
        <v>94</v>
      </c>
      <c r="O36" s="127" t="str">
        <f>IF(Tabla3[[#This Row],[Fecha de Fin ]]&lt;&gt;"","Cerrado","")</f>
        <v>Cerrado</v>
      </c>
      <c r="P36" s="114">
        <f>IFERROR(IF(+NETWORKDAYS(L36,M36,Hoja3!A27:A67)-1&gt;=0,+NETWORKDAYS(L36,M36,Hoja3!A27:A67)-1,""),"")</f>
        <v>0</v>
      </c>
      <c r="Q36" s="165" t="str" cm="1">
        <f t="array" ref="Q36">_xlfn.IFS(Tabla3[[#This Row],[Días CGR]]&lt;=15,"A tiempo",Tabla3[[#This Row],[Días CGR]]="","",Tabla3[[#This Row],[Días CGR]]&gt;15,"En retraso")</f>
        <v>A tiempo</v>
      </c>
      <c r="S36" s="37"/>
    </row>
    <row r="37" spans="1:19" ht="72">
      <c r="B37" s="113">
        <f t="shared" si="0"/>
        <v>28</v>
      </c>
      <c r="C37" s="45" t="str">
        <f>IFERROR(VLOOKUP(B37,Tabla1[],2,FALSE),"")</f>
        <v>R13</v>
      </c>
      <c r="D37" s="45" t="str">
        <f>IFERROR(VLOOKUP(B37,Tabla1[],3,FALSE),"")</f>
        <v xml:space="preserve">Reclamación </v>
      </c>
      <c r="E37" s="45" t="str">
        <f>IFERROR(VLOOKUP(B37,Tabla1[],5,FALSE),"")</f>
        <v>T4</v>
      </c>
      <c r="F37" s="45">
        <f>IFERROR(VLOOKUP(B37,Tabla1[],6,FALSE),"")</f>
        <v>2022</v>
      </c>
      <c r="G37" s="45" t="str">
        <f>IFERROR(VLOOKUP(Tabla3[[#This Row],[No.]],Tabla1[],19,FALSE),"")</f>
        <v xml:space="preserve">Externo </v>
      </c>
      <c r="H37" s="45" t="str">
        <f>IFERROR(VLOOKUP(Tabla3[[#This Row],[No.]],Tabla1[],18,FALSE),"")</f>
        <v>Buzón Web</v>
      </c>
      <c r="I37" s="97" t="s">
        <v>544</v>
      </c>
      <c r="J37" s="97" t="s">
        <v>545</v>
      </c>
      <c r="K37" s="181" t="s">
        <v>547</v>
      </c>
      <c r="L37" s="54">
        <v>44852</v>
      </c>
      <c r="M37" s="54">
        <v>44855</v>
      </c>
      <c r="N37" s="47" t="s">
        <v>94</v>
      </c>
      <c r="O37" s="127" t="str">
        <f>IF(Tabla3[[#This Row],[Fecha de Fin ]]&lt;&gt;"","Cerrado","")</f>
        <v>Cerrado</v>
      </c>
      <c r="P37" s="114">
        <f>IFERROR(IF(+NETWORKDAYS(L37,M37,Hoja3!A28:A68)-1&gt;=0,+NETWORKDAYS(L37,M37,Hoja3!A28:A68)-1,""),"")</f>
        <v>3</v>
      </c>
      <c r="Q37" s="165" t="str" cm="1">
        <f t="array" ref="Q37">_xlfn.IFS(Tabla3[[#This Row],[Días CGR]]&lt;=15,"A tiempo",Tabla3[[#This Row],[Días CGR]]="","",Tabla3[[#This Row],[Días CGR]]&gt;15,"En retraso")</f>
        <v>A tiempo</v>
      </c>
      <c r="S37" s="37"/>
    </row>
    <row r="38" spans="1:19" ht="43.2">
      <c r="B38" s="113">
        <f t="shared" si="0"/>
        <v>29</v>
      </c>
      <c r="C38" s="45" t="str">
        <f>IFERROR(VLOOKUP(B38,Tabla1[],2,FALSE),"")</f>
        <v>R14</v>
      </c>
      <c r="D38" s="45" t="str">
        <f>IFERROR(VLOOKUP(B38,Tabla1[],3,FALSE),"")</f>
        <v xml:space="preserve">Reclamación </v>
      </c>
      <c r="E38" s="45" t="str">
        <f>IFERROR(VLOOKUP(B38,Tabla1[],5,FALSE),"")</f>
        <v>T4</v>
      </c>
      <c r="F38" s="45">
        <f>IFERROR(VLOOKUP(B38,Tabla1[],6,FALSE),"")</f>
        <v>2022</v>
      </c>
      <c r="G38" s="45" t="str">
        <f>IFERROR(VLOOKUP(Tabla3[[#This Row],[No.]],Tabla1[],19,FALSE),"")</f>
        <v xml:space="preserve">Externo </v>
      </c>
      <c r="H38" s="45" t="str">
        <f>IFERROR(VLOOKUP(Tabla3[[#This Row],[No.]],Tabla1[],18,FALSE),"")</f>
        <v>Buzón Web</v>
      </c>
      <c r="I38" s="97" t="s">
        <v>523</v>
      </c>
      <c r="J38" s="97" t="s">
        <v>524</v>
      </c>
      <c r="K38" s="181" t="s">
        <v>302</v>
      </c>
      <c r="L38" s="54">
        <v>44854</v>
      </c>
      <c r="M38" s="54">
        <v>44858</v>
      </c>
      <c r="N38" s="47" t="s">
        <v>94</v>
      </c>
      <c r="O38" s="127" t="str">
        <f>IF(Tabla3[[#This Row],[Fecha de Fin ]]&lt;&gt;"","Cerrado","")</f>
        <v>Cerrado</v>
      </c>
      <c r="P38" s="114">
        <f>IFERROR(IF(+NETWORKDAYS(L38,M38,Hoja3!A29:A69)-1&gt;=0,+NETWORKDAYS(L38,M38,Hoja3!A29:A69)-1,""),"")</f>
        <v>2</v>
      </c>
      <c r="Q38" s="165" t="str" cm="1">
        <f t="array" ref="Q38">_xlfn.IFS(Tabla3[[#This Row],[Días CGR]]&lt;=15,"A tiempo",Tabla3[[#This Row],[Días CGR]]="","",Tabla3[[#This Row],[Días CGR]]&gt;15,"En retraso")</f>
        <v>A tiempo</v>
      </c>
      <c r="S38" s="37"/>
    </row>
    <row r="39" spans="1:19" ht="86.4">
      <c r="B39" s="113">
        <f t="shared" si="0"/>
        <v>30</v>
      </c>
      <c r="C39" s="45" t="str">
        <f>IFERROR(VLOOKUP(B39,Tabla1[],2,FALSE),"")</f>
        <v>R15</v>
      </c>
      <c r="D39" s="45" t="str">
        <f>IFERROR(VLOOKUP(B39,Tabla1[],3,FALSE),"")</f>
        <v xml:space="preserve">Reclamación </v>
      </c>
      <c r="E39" s="45" t="str">
        <f>IFERROR(VLOOKUP(B39,Tabla1[],5,FALSE),"")</f>
        <v>T4</v>
      </c>
      <c r="F39" s="45">
        <f>IFERROR(VLOOKUP(B39,Tabla1[],6,FALSE),"")</f>
        <v>2022</v>
      </c>
      <c r="G39" s="45" t="str">
        <f>IFERROR(VLOOKUP(Tabla3[[#This Row],[No.]],Tabla1[],19,FALSE),"")</f>
        <v xml:space="preserve">Externo </v>
      </c>
      <c r="H39" s="45" t="str">
        <f>IFERROR(VLOOKUP(Tabla3[[#This Row],[No.]],Tabla1[],18,FALSE),"")</f>
        <v>Buzón Web</v>
      </c>
      <c r="I39" s="97" t="s">
        <v>238</v>
      </c>
      <c r="J39" s="97" t="s">
        <v>525</v>
      </c>
      <c r="K39" s="181" t="s">
        <v>240</v>
      </c>
      <c r="L39" s="54">
        <v>44855</v>
      </c>
      <c r="M39" s="54">
        <v>44855</v>
      </c>
      <c r="N39" s="47" t="s">
        <v>94</v>
      </c>
      <c r="O39" s="127" t="str">
        <f>IF(Tabla3[[#This Row],[Fecha de Fin ]]&lt;&gt;"","Cerrado","")</f>
        <v>Cerrado</v>
      </c>
      <c r="P39" s="114">
        <f>IFERROR(IF(+NETWORKDAYS(L39,M39,Hoja3!A30:A70)-1&gt;=0,+NETWORKDAYS(L39,M39,Hoja3!A30:A70)-1,""),"")</f>
        <v>0</v>
      </c>
      <c r="Q39" s="165" t="str" cm="1">
        <f t="array" ref="Q39">_xlfn.IFS(Tabla3[[#This Row],[Días CGR]]&lt;=15,"A tiempo",Tabla3[[#This Row],[Días CGR]]="","",Tabla3[[#This Row],[Días CGR]]&gt;15,"En retraso")</f>
        <v>A tiempo</v>
      </c>
      <c r="S39" s="37"/>
    </row>
    <row r="40" spans="1:19" ht="86.4">
      <c r="B40" s="113">
        <f t="shared" si="0"/>
        <v>31</v>
      </c>
      <c r="C40" s="45" t="str">
        <f>IFERROR(VLOOKUP(B40,Tabla1[],2,FALSE),"")</f>
        <v>R16</v>
      </c>
      <c r="D40" s="45" t="str">
        <f>IFERROR(VLOOKUP(B40,Tabla1[],3,FALSE),"")</f>
        <v xml:space="preserve">Reclamación </v>
      </c>
      <c r="E40" s="45" t="str">
        <f>IFERROR(VLOOKUP(B40,Tabla1[],5,FALSE),"")</f>
        <v>T4</v>
      </c>
      <c r="F40" s="45">
        <f>IFERROR(VLOOKUP(B40,Tabla1[],6,FALSE),"")</f>
        <v>2022</v>
      </c>
      <c r="G40" s="45" t="str">
        <f>IFERROR(VLOOKUP(Tabla3[[#This Row],[No.]],Tabla1[],19,FALSE),"")</f>
        <v xml:space="preserve">Externo </v>
      </c>
      <c r="H40" s="45" t="str">
        <f>IFERROR(VLOOKUP(Tabla3[[#This Row],[No.]],Tabla1[],18,FALSE),"")</f>
        <v>Buzón Web</v>
      </c>
      <c r="I40" s="97" t="s">
        <v>262</v>
      </c>
      <c r="J40" s="97" t="s">
        <v>526</v>
      </c>
      <c r="K40" s="181" t="s">
        <v>236</v>
      </c>
      <c r="L40" s="54">
        <v>44855</v>
      </c>
      <c r="M40" s="54">
        <v>44858</v>
      </c>
      <c r="N40" s="47" t="s">
        <v>241</v>
      </c>
      <c r="O40" s="127" t="str">
        <f>IF(Tabla3[[#This Row],[Fecha de Fin ]]&lt;&gt;"","Cerrado","")</f>
        <v>Cerrado</v>
      </c>
      <c r="P40" s="114">
        <f>IFERROR(IF(+NETWORKDAYS(L40,M40,Hoja3!A31:A71)-1&gt;=0,+NETWORKDAYS(L40,M40,Hoja3!A31:A71)-1,""),"")</f>
        <v>1</v>
      </c>
      <c r="Q40" s="165" t="str" cm="1">
        <f t="array" ref="Q40">_xlfn.IFS(Tabla3[[#This Row],[Días CGR]]&lt;=15,"A tiempo",Tabla3[[#This Row],[Días CGR]]="","",Tabla3[[#This Row],[Días CGR]]&gt;15,"En retraso")</f>
        <v>A tiempo</v>
      </c>
      <c r="S40" s="37"/>
    </row>
    <row r="41" spans="1:19" ht="115.2">
      <c r="B41" s="113">
        <f t="shared" si="0"/>
        <v>32</v>
      </c>
      <c r="C41" s="45" t="str">
        <f>IFERROR(VLOOKUP(B41,Tabla1[],2,FALSE),"")</f>
        <v>R17</v>
      </c>
      <c r="D41" s="45" t="str">
        <f>IFERROR(VLOOKUP(B41,Tabla1[],3,FALSE),"")</f>
        <v xml:space="preserve">Reclamación </v>
      </c>
      <c r="E41" s="45" t="str">
        <f>IFERROR(VLOOKUP(B41,Tabla1[],5,FALSE),"")</f>
        <v>T4</v>
      </c>
      <c r="F41" s="45">
        <f>IFERROR(VLOOKUP(B41,Tabla1[],6,FALSE),"")</f>
        <v>2022</v>
      </c>
      <c r="G41" s="45" t="str">
        <f>IFERROR(VLOOKUP(Tabla3[[#This Row],[No.]],Tabla1[],19,FALSE),"")</f>
        <v xml:space="preserve">Externo </v>
      </c>
      <c r="H41" s="45" t="str">
        <f>IFERROR(VLOOKUP(Tabla3[[#This Row],[No.]],Tabla1[],18,FALSE),"")</f>
        <v>Buzón Web</v>
      </c>
      <c r="I41" s="97" t="s">
        <v>527</v>
      </c>
      <c r="J41" s="97" t="s">
        <v>290</v>
      </c>
      <c r="K41" s="97" t="s">
        <v>79</v>
      </c>
      <c r="L41" s="54">
        <v>44861</v>
      </c>
      <c r="M41" s="54">
        <v>44866</v>
      </c>
      <c r="N41" s="47" t="s">
        <v>94</v>
      </c>
      <c r="O41" s="127" t="str">
        <f>IF(Tabla3[[#This Row],[Fecha de Fin ]]&lt;&gt;"","Cerrado","")</f>
        <v>Cerrado</v>
      </c>
      <c r="P41" s="114">
        <f>IFERROR(IF(+NETWORKDAYS(L41,M41,Hoja3!A32:A72)-1&gt;=0,+NETWORKDAYS(L41,M41,Hoja3!A32:A72)-1,""),"")</f>
        <v>3</v>
      </c>
      <c r="Q41" s="165" t="str" cm="1">
        <f t="array" ref="Q41">_xlfn.IFS(Tabla3[[#This Row],[Días CGR]]&lt;=15,"A tiempo",Tabla3[[#This Row],[Días CGR]]="","",Tabla3[[#This Row],[Días CGR]]&gt;15,"En retraso")</f>
        <v>A tiempo</v>
      </c>
      <c r="S41" s="37"/>
    </row>
    <row r="42" spans="1:19" ht="57.6">
      <c r="A42"/>
      <c r="B42" s="113">
        <f t="shared" ref="B42:B74" si="1">ROW(A42)-ROW($A$9)</f>
        <v>33</v>
      </c>
      <c r="C42" s="45" t="str">
        <f>IFERROR(VLOOKUP(B42,Tabla1[],2,FALSE),"")</f>
        <v>R18</v>
      </c>
      <c r="D42" s="45" t="str">
        <f>IFERROR(VLOOKUP(B42,Tabla1[],3,FALSE),"")</f>
        <v xml:space="preserve">Reclamación </v>
      </c>
      <c r="E42" s="45" t="str">
        <f>IFERROR(VLOOKUP(B42,Tabla1[],5,FALSE),"")</f>
        <v>T4</v>
      </c>
      <c r="F42" s="45">
        <f>IFERROR(VLOOKUP(B42,Tabla1[],6,FALSE),"")</f>
        <v>2022</v>
      </c>
      <c r="G42" s="45" t="str">
        <f>IFERROR(VLOOKUP(Tabla3[[#This Row],[No.]],Tabla1[],19,FALSE),"")</f>
        <v xml:space="preserve">Externo </v>
      </c>
      <c r="H42" s="45" t="str">
        <f>IFERROR(VLOOKUP(Tabla3[[#This Row],[No.]],Tabla1[],18,FALSE),"")</f>
        <v>Buzón Web</v>
      </c>
      <c r="I42" s="97" t="s">
        <v>296</v>
      </c>
      <c r="J42" s="97" t="s">
        <v>297</v>
      </c>
      <c r="K42" s="181" t="s">
        <v>298</v>
      </c>
      <c r="L42" s="54">
        <v>44861</v>
      </c>
      <c r="M42" s="54">
        <v>44882</v>
      </c>
      <c r="N42" s="47" t="s">
        <v>94</v>
      </c>
      <c r="O42" s="127" t="str">
        <f>IF(Tabla3[[#This Row],[Fecha de Fin ]]&lt;&gt;"","Cerrado","")</f>
        <v>Cerrado</v>
      </c>
      <c r="P42" s="114">
        <f>IFERROR(IF(+NETWORKDAYS(L42,M42,Hoja3!A33:A73)-1&gt;=0,+NETWORKDAYS(L42,M42,Hoja3!A33:A73)-1,""),"")</f>
        <v>15</v>
      </c>
      <c r="Q42" s="165" t="str" cm="1">
        <f t="array" ref="Q42">_xlfn.IFS(Tabla3[[#This Row],[Días CGR]]&lt;=15,"A tiempo",Tabla3[[#This Row],[Días CGR]]="","",Tabla3[[#This Row],[Días CGR]]&gt;15,"En retraso")</f>
        <v>A tiempo</v>
      </c>
      <c r="S42" s="37"/>
    </row>
    <row r="43" spans="1:19" ht="115.2">
      <c r="B43" s="113">
        <f t="shared" si="1"/>
        <v>34</v>
      </c>
      <c r="C43" s="45" t="str">
        <f>IFERROR(VLOOKUP(B43,Tabla1[],2,FALSE),"")</f>
        <v>Q12</v>
      </c>
      <c r="D43" s="45" t="str">
        <f>IFERROR(VLOOKUP(B43,Tabla1[],3,FALSE),"")</f>
        <v>Queja</v>
      </c>
      <c r="E43" s="45" t="str">
        <f>IFERROR(VLOOKUP(B43,Tabla1[],5,FALSE),"")</f>
        <v>T4</v>
      </c>
      <c r="F43" s="45">
        <f>IFERROR(VLOOKUP(B43,Tabla1[],6,FALSE),"")</f>
        <v>2022</v>
      </c>
      <c r="G43" s="45" t="str">
        <f>IFERROR(VLOOKUP(Tabla3[[#This Row],[No.]],Tabla1[],19,FALSE),"")</f>
        <v>Interno</v>
      </c>
      <c r="H43" s="45" t="str">
        <f>IFERROR(VLOOKUP(Tabla3[[#This Row],[No.]],Tabla1[],18,FALSE),"")</f>
        <v>Buzón Físico</v>
      </c>
      <c r="I43" s="97" t="s">
        <v>299</v>
      </c>
      <c r="J43" s="97" t="s">
        <v>378</v>
      </c>
      <c r="K43" s="194" t="s">
        <v>379</v>
      </c>
      <c r="L43" s="54">
        <v>44861</v>
      </c>
      <c r="M43" s="54">
        <v>44868</v>
      </c>
      <c r="N43" s="47" t="s">
        <v>78</v>
      </c>
      <c r="O43" s="127" t="str">
        <f>IF(Tabla3[[#This Row],[Fecha de Fin ]]&lt;&gt;"","Cerrado","")</f>
        <v>Cerrado</v>
      </c>
      <c r="P43" s="114">
        <f>IFERROR(IF(+NETWORKDAYS(L43,M43,Hoja3!A34:A74)-1&gt;=0,+NETWORKDAYS(L43,M43,Hoja3!A34:A74)-1,""),"")</f>
        <v>5</v>
      </c>
      <c r="Q43" s="165" t="str" cm="1">
        <f t="array" ref="Q43">_xlfn.IFS(Tabla3[[#This Row],[Días CGR]]&lt;=15,"A tiempo",Tabla3[[#This Row],[Días CGR]]="","",Tabla3[[#This Row],[Días CGR]]&gt;15,"En retraso")</f>
        <v>A tiempo</v>
      </c>
      <c r="S43" s="37"/>
    </row>
    <row r="44" spans="1:19" ht="74.400000000000006" customHeight="1">
      <c r="B44" s="113">
        <f t="shared" si="1"/>
        <v>35</v>
      </c>
      <c r="C44" s="45" t="str">
        <f>IFERROR(VLOOKUP(B44,Tabla1[],2,FALSE),"")</f>
        <v>R19</v>
      </c>
      <c r="D44" s="45" t="str">
        <f>IFERROR(VLOOKUP(B44,Tabla1[],3,FALSE),"")</f>
        <v xml:space="preserve">Reclamación </v>
      </c>
      <c r="E44" s="45" t="str">
        <f>IFERROR(VLOOKUP(B44,Tabla1[],5,FALSE),"")</f>
        <v>T4</v>
      </c>
      <c r="F44" s="45">
        <f>IFERROR(VLOOKUP(B44,Tabla1[],6,FALSE),"")</f>
        <v>2022</v>
      </c>
      <c r="G44" s="45" t="str">
        <f>IFERROR(VLOOKUP(Tabla3[[#This Row],[No.]],Tabla1[],19,FALSE),"")</f>
        <v xml:space="preserve">Externo </v>
      </c>
      <c r="H44" s="45" t="str">
        <f>IFERROR(VLOOKUP(Tabla3[[#This Row],[No.]],Tabla1[],18,FALSE),"")</f>
        <v>Buzón Web</v>
      </c>
      <c r="I44" s="97" t="s">
        <v>305</v>
      </c>
      <c r="J44" s="97" t="s">
        <v>310</v>
      </c>
      <c r="K44" s="181" t="s">
        <v>306</v>
      </c>
      <c r="L44" s="54">
        <v>44868</v>
      </c>
      <c r="M44" s="54">
        <v>44872</v>
      </c>
      <c r="N44" s="47" t="s">
        <v>94</v>
      </c>
      <c r="O44" s="127" t="str">
        <f>IF(Tabla3[[#This Row],[Fecha de Fin ]]&lt;&gt;"","Cerrado","")</f>
        <v>Cerrado</v>
      </c>
      <c r="P44" s="114">
        <f>IFERROR(IF(+NETWORKDAYS(L44,M44,Hoja3!A35:A75)-1&gt;=0,+NETWORKDAYS(L44,M44,Hoja3!A35:A75)-1,""),"")</f>
        <v>2</v>
      </c>
      <c r="Q44" s="165" t="str" cm="1">
        <f t="array" ref="Q44">_xlfn.IFS(Tabla3[[#This Row],[Días CGR]]&lt;=15,"A tiempo",Tabla3[[#This Row],[Días CGR]]="","",Tabla3[[#This Row],[Días CGR]]&gt;15,"En retraso")</f>
        <v>A tiempo</v>
      </c>
      <c r="S44" s="37"/>
    </row>
    <row r="45" spans="1:19" ht="94.8" customHeight="1">
      <c r="B45" s="113">
        <f t="shared" si="1"/>
        <v>36</v>
      </c>
      <c r="C45" s="45" t="str">
        <f>IFERROR(VLOOKUP(B45,Tabla1[],2,FALSE),"")</f>
        <v>R20</v>
      </c>
      <c r="D45" s="45" t="str">
        <f>IFERROR(VLOOKUP(B45,Tabla1[],3,FALSE),"")</f>
        <v xml:space="preserve">Reclamación </v>
      </c>
      <c r="E45" s="45" t="str">
        <f>IFERROR(VLOOKUP(B45,Tabla1[],5,FALSE),"")</f>
        <v>T4</v>
      </c>
      <c r="F45" s="45">
        <f>IFERROR(VLOOKUP(B45,Tabla1[],6,FALSE),"")</f>
        <v>2022</v>
      </c>
      <c r="G45" s="45" t="str">
        <f>IFERROR(VLOOKUP(Tabla3[[#This Row],[No.]],Tabla1[],19,FALSE),"")</f>
        <v>Externo</v>
      </c>
      <c r="H45" s="45" t="str">
        <f>IFERROR(VLOOKUP(Tabla3[[#This Row],[No.]],Tabla1[],18,FALSE),"")</f>
        <v>Buzón Web</v>
      </c>
      <c r="I45" s="97" t="s">
        <v>308</v>
      </c>
      <c r="J45" s="97" t="s">
        <v>309</v>
      </c>
      <c r="K45" s="97" t="s">
        <v>409</v>
      </c>
      <c r="L45" s="46" t="s">
        <v>409</v>
      </c>
      <c r="M45" s="46" t="s">
        <v>409</v>
      </c>
      <c r="N45" s="47" t="s">
        <v>94</v>
      </c>
      <c r="O45" s="127" t="str">
        <f>IF(Tabla3[[#This Row],[Fecha de Fin ]]&lt;&gt;"","Cerrado","")</f>
        <v>Cerrado</v>
      </c>
      <c r="P45" s="114" t="str">
        <f>IFERROR(IF(+NETWORKDAYS(L45,M45,Hoja3!A36:A76)-1&gt;=0,+NETWORKDAYS(L45,M45,Hoja3!A36:A76)-1,""),"")</f>
        <v/>
      </c>
      <c r="Q45" s="165" t="str" cm="1">
        <f t="array" ref="Q45">_xlfn.IFS(Tabla3[[#This Row],[Días CGR]]&lt;=15,"A tiempo",Tabla3[[#This Row],[Días CGR]]="","",Tabla3[[#This Row],[Días CGR]]&gt;15,"En retraso")</f>
        <v/>
      </c>
      <c r="S45" s="37"/>
    </row>
    <row r="46" spans="1:19" ht="68.400000000000006" customHeight="1">
      <c r="B46" s="113">
        <f t="shared" si="1"/>
        <v>37</v>
      </c>
      <c r="C46" s="45" t="str">
        <f>IFERROR(VLOOKUP(B46,Tabla1[],2,FALSE),"")</f>
        <v>R21</v>
      </c>
      <c r="D46" s="45" t="str">
        <f>IFERROR(VLOOKUP(B46,Tabla1[],3,FALSE),"")</f>
        <v xml:space="preserve">Reclamación </v>
      </c>
      <c r="E46" s="45" t="str">
        <f>IFERROR(VLOOKUP(B46,Tabla1[],5,FALSE),"")</f>
        <v>T4</v>
      </c>
      <c r="F46" s="45">
        <f>IFERROR(VLOOKUP(B46,Tabla1[],6,FALSE),"")</f>
        <v>2022</v>
      </c>
      <c r="G46" s="45" t="str">
        <f>IFERROR(VLOOKUP(Tabla3[[#This Row],[No.]],Tabla1[],19,FALSE),"")</f>
        <v>Externo</v>
      </c>
      <c r="H46" s="45" t="str">
        <f>IFERROR(VLOOKUP(Tabla3[[#This Row],[No.]],Tabla1[],18,FALSE),"")</f>
        <v>Buzón Web</v>
      </c>
      <c r="I46" s="97" t="s">
        <v>313</v>
      </c>
      <c r="J46" s="97" t="s">
        <v>311</v>
      </c>
      <c r="K46" s="181" t="s">
        <v>312</v>
      </c>
      <c r="L46" s="54">
        <v>44879</v>
      </c>
      <c r="M46" s="54">
        <v>44879</v>
      </c>
      <c r="N46" s="97" t="s">
        <v>94</v>
      </c>
      <c r="O46" s="127" t="str">
        <f>IF(Tabla3[[#This Row],[Fecha de Fin ]]&lt;&gt;"","Cerrado","")</f>
        <v>Cerrado</v>
      </c>
      <c r="P46" s="114">
        <f>IFERROR(IF(+NETWORKDAYS(L46,M46,Hoja3!A37:A77)-1&gt;=0,+NETWORKDAYS(L46,M46,Hoja3!A37:A77)-1,""),"")</f>
        <v>0</v>
      </c>
      <c r="Q46" s="165" t="str" cm="1">
        <f t="array" ref="Q46">_xlfn.IFS(Tabla3[[#This Row],[Días CGR]]&lt;=15,"A tiempo",Tabla3[[#This Row],[Días CGR]]="","",Tabla3[[#This Row],[Días CGR]]&gt;15,"En retraso")</f>
        <v>A tiempo</v>
      </c>
      <c r="S46" s="37"/>
    </row>
    <row r="47" spans="1:19" ht="72">
      <c r="B47" s="113">
        <f t="shared" si="1"/>
        <v>38</v>
      </c>
      <c r="C47" s="45" t="str">
        <f>IFERROR(VLOOKUP(B47,Tabla1[],2,FALSE),"")</f>
        <v>R22</v>
      </c>
      <c r="D47" s="45" t="str">
        <f>IFERROR(VLOOKUP(B47,Tabla1[],3,FALSE),"")</f>
        <v xml:space="preserve">Reclamación </v>
      </c>
      <c r="E47" s="45" t="str">
        <f>IFERROR(VLOOKUP(B47,Tabla1[],5,FALSE),"")</f>
        <v>T4</v>
      </c>
      <c r="F47" s="45">
        <f>IFERROR(VLOOKUP(B47,Tabla1[],6,FALSE),"")</f>
        <v>2022</v>
      </c>
      <c r="G47" s="45" t="str">
        <f>IFERROR(VLOOKUP(Tabla3[[#This Row],[No.]],Tabla1[],19,FALSE),"")</f>
        <v>Externo</v>
      </c>
      <c r="H47" s="45" t="str">
        <f>IFERROR(VLOOKUP(Tabla3[[#This Row],[No.]],Tabla1[],18,FALSE),"")</f>
        <v>Buzón Web</v>
      </c>
      <c r="I47" s="97" t="s">
        <v>487</v>
      </c>
      <c r="J47" s="97" t="s">
        <v>310</v>
      </c>
      <c r="K47" s="181" t="s">
        <v>306</v>
      </c>
      <c r="L47" s="54">
        <v>44879</v>
      </c>
      <c r="M47" s="54">
        <v>44882</v>
      </c>
      <c r="N47" s="97" t="s">
        <v>94</v>
      </c>
      <c r="O47" s="127" t="str">
        <f>IF(Tabla3[[#This Row],[Fecha de Fin ]]&lt;&gt;"","Cerrado","")</f>
        <v>Cerrado</v>
      </c>
      <c r="P47" s="114">
        <f>IFERROR(IF(+NETWORKDAYS(L47,M47,Hoja3!A38:A78)-1&gt;=0,+NETWORKDAYS(L47,M47,Hoja3!A38:A78)-1,""),"")</f>
        <v>3</v>
      </c>
      <c r="Q47" s="165" t="str" cm="1">
        <f t="array" ref="Q47">_xlfn.IFS(Tabla3[[#This Row],[Días CGR]]&lt;=15,"A tiempo",Tabla3[[#This Row],[Días CGR]]="","",Tabla3[[#This Row],[Días CGR]]&gt;15,"En retraso")</f>
        <v>A tiempo</v>
      </c>
      <c r="S47" s="37"/>
    </row>
    <row r="48" spans="1:19" ht="57.6">
      <c r="B48" s="113">
        <f t="shared" si="1"/>
        <v>39</v>
      </c>
      <c r="C48" s="45" t="str">
        <f>IFERROR(VLOOKUP(B48,Tabla1[],2,FALSE),"")</f>
        <v>R23</v>
      </c>
      <c r="D48" s="45" t="str">
        <f>IFERROR(VLOOKUP(B48,Tabla1[],3,FALSE),"")</f>
        <v xml:space="preserve">Reclamación </v>
      </c>
      <c r="E48" s="45" t="str">
        <f>IFERROR(VLOOKUP(B48,Tabla1[],5,FALSE),"")</f>
        <v>T4</v>
      </c>
      <c r="F48" s="45">
        <f>IFERROR(VLOOKUP(B48,Tabla1[],6,FALSE),"")</f>
        <v>2022</v>
      </c>
      <c r="G48" s="45" t="str">
        <f>IFERROR(VLOOKUP(Tabla3[[#This Row],[No.]],Tabla1[],19,FALSE),"")</f>
        <v>Externo</v>
      </c>
      <c r="H48" s="45" t="str">
        <f>IFERROR(VLOOKUP(Tabla3[[#This Row],[No.]],Tabla1[],18,FALSE),"")</f>
        <v>Correo Electrónico</v>
      </c>
      <c r="I48" s="97" t="s">
        <v>322</v>
      </c>
      <c r="J48" s="97" t="s">
        <v>681</v>
      </c>
      <c r="K48" s="181" t="s">
        <v>682</v>
      </c>
      <c r="L48" s="54">
        <v>44887</v>
      </c>
      <c r="M48" s="54">
        <v>44907</v>
      </c>
      <c r="N48" s="47" t="s">
        <v>683</v>
      </c>
      <c r="O48" s="127" t="str">
        <f>IF(Tabla3[[#This Row],[Fecha de Fin ]]&lt;&gt;"","Cerrado","")</f>
        <v>Cerrado</v>
      </c>
      <c r="P48" s="114">
        <f>IFERROR(IF(+NETWORKDAYS(L48,M48,Hoja3!A39:A79)-1&gt;=0,+NETWORKDAYS(L48,M48,Hoja3!A39:A79)-1,""),"")</f>
        <v>14</v>
      </c>
      <c r="Q48" s="165" t="str" cm="1">
        <f t="array" ref="Q48">_xlfn.IFS(Tabla3[[#This Row],[Días CGR]]&lt;=15,"A tiempo",Tabla3[[#This Row],[Días CGR]]="","",Tabla3[[#This Row],[Días CGR]]&gt;15,"En retraso")</f>
        <v>A tiempo</v>
      </c>
      <c r="S48" s="37"/>
    </row>
    <row r="49" spans="2:19" ht="76.2" customHeight="1">
      <c r="B49" s="113">
        <f t="shared" si="1"/>
        <v>40</v>
      </c>
      <c r="C49" s="45" t="str">
        <f>IFERROR(VLOOKUP(B49,Tabla1[],2,FALSE),"")</f>
        <v>R24</v>
      </c>
      <c r="D49" s="45" t="str">
        <f>IFERROR(VLOOKUP(B49,Tabla1[],3,FALSE),"")</f>
        <v xml:space="preserve">Reclamación </v>
      </c>
      <c r="E49" s="45" t="str">
        <f>IFERROR(VLOOKUP(B49,Tabla1[],5,FALSE),"")</f>
        <v>T4</v>
      </c>
      <c r="F49" s="45">
        <f>IFERROR(VLOOKUP(B49,Tabla1[],6,FALSE),"")</f>
        <v>2022</v>
      </c>
      <c r="G49" s="45" t="str">
        <f>IFERROR(VLOOKUP(Tabla3[[#This Row],[No.]],Tabla1[],19,FALSE),"")</f>
        <v>Externo</v>
      </c>
      <c r="H49" s="45" t="str">
        <f>IFERROR(VLOOKUP(Tabla3[[#This Row],[No.]],Tabla1[],18,FALSE),"")</f>
        <v>Buzón Web</v>
      </c>
      <c r="I49" s="97" t="s">
        <v>296</v>
      </c>
      <c r="J49" s="97" t="s">
        <v>324</v>
      </c>
      <c r="K49" s="181" t="s">
        <v>325</v>
      </c>
      <c r="L49" s="54">
        <v>44889</v>
      </c>
      <c r="M49" s="54">
        <v>44895</v>
      </c>
      <c r="N49" s="47" t="s">
        <v>94</v>
      </c>
      <c r="O49" s="127" t="str">
        <f>IF(Tabla3[[#This Row],[Fecha de Fin ]]&lt;&gt;"","Cerrado","")</f>
        <v>Cerrado</v>
      </c>
      <c r="P49" s="114">
        <f>IFERROR(IF(+NETWORKDAYS(L49,M49,Hoja3!A40:A80)-1&gt;=0,+NETWORKDAYS(L49,M49,Hoja3!A40:A80)-1,""),"")</f>
        <v>4</v>
      </c>
      <c r="Q49" s="165" t="str" cm="1">
        <f t="array" ref="Q49">_xlfn.IFS(Tabla3[[#This Row],[Días CGR]]&lt;=15,"A tiempo",Tabla3[[#This Row],[Días CGR]]="","",Tabla3[[#This Row],[Días CGR]]&gt;15,"En retraso")</f>
        <v>A tiempo</v>
      </c>
      <c r="S49" s="37"/>
    </row>
    <row r="50" spans="2:19" ht="83.4" customHeight="1">
      <c r="B50" s="113">
        <f t="shared" si="1"/>
        <v>41</v>
      </c>
      <c r="C50" s="45" t="str">
        <f>IFERROR(VLOOKUP(B50,Tabla1[],2,FALSE),"")</f>
        <v>R25</v>
      </c>
      <c r="D50" s="45" t="str">
        <f>IFERROR(VLOOKUP(B50,Tabla1[],3,FALSE),"")</f>
        <v xml:space="preserve">Reclamación </v>
      </c>
      <c r="E50" s="45" t="str">
        <f>IFERROR(VLOOKUP(B50,Tabla1[],5,FALSE),"")</f>
        <v>T4</v>
      </c>
      <c r="F50" s="45">
        <f>IFERROR(VLOOKUP(B50,Tabla1[],6,FALSE),"")</f>
        <v>2022</v>
      </c>
      <c r="G50" s="45" t="str">
        <f>IFERROR(VLOOKUP(Tabla3[[#This Row],[No.]],Tabla1[],19,FALSE),"")</f>
        <v>Externo</v>
      </c>
      <c r="H50" s="45" t="str">
        <f>IFERROR(VLOOKUP(Tabla3[[#This Row],[No.]],Tabla1[],18,FALSE),"")</f>
        <v>Buzón Web</v>
      </c>
      <c r="I50" s="97" t="s">
        <v>486</v>
      </c>
      <c r="J50" s="97" t="s">
        <v>477</v>
      </c>
      <c r="K50" s="181" t="s">
        <v>495</v>
      </c>
      <c r="L50" s="54">
        <v>44890</v>
      </c>
      <c r="M50" s="54">
        <v>44897</v>
      </c>
      <c r="N50" s="47" t="s">
        <v>94</v>
      </c>
      <c r="O50" s="127" t="str">
        <f>IF(Tabla3[[#This Row],[Fecha de Fin ]]&lt;&gt;"","Cerrado","")</f>
        <v>Cerrado</v>
      </c>
      <c r="P50" s="114">
        <f>IFERROR(IF(+NETWORKDAYS(L50,M50,Hoja3!A41:A81)-1&gt;=0,+NETWORKDAYS(L50,M50,Hoja3!A41:A81)-1,""),"")</f>
        <v>5</v>
      </c>
      <c r="Q50" s="165" t="str" cm="1">
        <f t="array" ref="Q50">_xlfn.IFS(Tabla3[[#This Row],[Días CGR]]&lt;=15,"A tiempo",Tabla3[[#This Row],[Días CGR]]="","",Tabla3[[#This Row],[Días CGR]]&gt;15,"En retraso")</f>
        <v>A tiempo</v>
      </c>
      <c r="S50" s="37"/>
    </row>
    <row r="51" spans="2:19" ht="57.6">
      <c r="B51" s="113">
        <f t="shared" si="1"/>
        <v>42</v>
      </c>
      <c r="C51" s="45" t="str">
        <f>IFERROR(VLOOKUP(B51,Tabla1[],2,FALSE),"")</f>
        <v>R26</v>
      </c>
      <c r="D51" s="45" t="str">
        <f>IFERROR(VLOOKUP(B51,Tabla1[],3,FALSE),"")</f>
        <v xml:space="preserve">Reclamación </v>
      </c>
      <c r="E51" s="45" t="str">
        <f>IFERROR(VLOOKUP(B51,Tabla1[],5,FALSE),"")</f>
        <v>T4</v>
      </c>
      <c r="F51" s="45">
        <f>IFERROR(VLOOKUP(B51,Tabla1[],6,FALSE),"")</f>
        <v>2022</v>
      </c>
      <c r="G51" s="45" t="str">
        <f>IFERROR(VLOOKUP(Tabla3[[#This Row],[No.]],Tabla1[],19,FALSE),"")</f>
        <v>Externo</v>
      </c>
      <c r="H51" s="45" t="str">
        <f>IFERROR(VLOOKUP(Tabla3[[#This Row],[No.]],Tabla1[],18,FALSE),"")</f>
        <v>Buzón Web</v>
      </c>
      <c r="I51" s="97" t="s">
        <v>334</v>
      </c>
      <c r="J51" s="97" t="s">
        <v>335</v>
      </c>
      <c r="K51" s="181" t="s">
        <v>357</v>
      </c>
      <c r="L51" s="54">
        <v>44896</v>
      </c>
      <c r="M51" s="54">
        <v>44897</v>
      </c>
      <c r="N51" s="47" t="s">
        <v>94</v>
      </c>
      <c r="O51" s="127" t="str">
        <f>IF(Tabla3[[#This Row],[Fecha de Fin ]]&lt;&gt;"","Cerrado","")</f>
        <v>Cerrado</v>
      </c>
      <c r="P51" s="114">
        <f>IFERROR(IF(+NETWORKDAYS(L51,M51,Hoja3!A42:A82)-1&gt;=0,+NETWORKDAYS(L51,M51,Hoja3!A42:A82)-1,""),"")</f>
        <v>1</v>
      </c>
      <c r="Q51" s="165" t="str" cm="1">
        <f t="array" ref="Q51">_xlfn.IFS(Tabla3[[#This Row],[Días CGR]]&lt;=15,"A tiempo",Tabla3[[#This Row],[Días CGR]]="","",Tabla3[[#This Row],[Días CGR]]&gt;15,"En retraso")</f>
        <v>A tiempo</v>
      </c>
      <c r="S51" s="37"/>
    </row>
    <row r="52" spans="2:19" ht="115.2">
      <c r="B52" s="113">
        <f t="shared" si="1"/>
        <v>43</v>
      </c>
      <c r="C52" s="45" t="str">
        <f>IFERROR(VLOOKUP(B52,Tabla1[],2,FALSE),"")</f>
        <v>Q13</v>
      </c>
      <c r="D52" s="45" t="str">
        <f>IFERROR(VLOOKUP(B52,Tabla1[],3,FALSE),"")</f>
        <v>Queja</v>
      </c>
      <c r="E52" s="45" t="str">
        <f>IFERROR(VLOOKUP(B52,Tabla1[],5,FALSE),"")</f>
        <v>T4</v>
      </c>
      <c r="F52" s="45">
        <f>IFERROR(VLOOKUP(B52,Tabla1[],6,FALSE),"")</f>
        <v>2022</v>
      </c>
      <c r="G52" s="45" t="str">
        <f>IFERROR(VLOOKUP(Tabla3[[#This Row],[No.]],Tabla1[],19,FALSE),"")</f>
        <v>Externo</v>
      </c>
      <c r="H52" s="45" t="str">
        <f>IFERROR(VLOOKUP(Tabla3[[#This Row],[No.]],Tabla1[],18,FALSE),"")</f>
        <v>Buzón Web</v>
      </c>
      <c r="I52" s="97" t="s">
        <v>485</v>
      </c>
      <c r="J52" s="97" t="s">
        <v>591</v>
      </c>
      <c r="K52" s="181" t="s">
        <v>592</v>
      </c>
      <c r="L52" s="54">
        <v>44903</v>
      </c>
      <c r="M52" s="54">
        <v>44910</v>
      </c>
      <c r="N52" s="47" t="s">
        <v>94</v>
      </c>
      <c r="O52" s="127" t="str">
        <f>IF(Tabla3[[#This Row],[Fecha de Fin ]]&lt;&gt;"","Cerrado","")</f>
        <v>Cerrado</v>
      </c>
      <c r="P52" s="114">
        <f>IFERROR(IF(+NETWORKDAYS(L52,M52,Hoja3!A43:A83)-1&gt;=0,+NETWORKDAYS(L52,M52,Hoja3!A43:A83)-1,""),"")</f>
        <v>5</v>
      </c>
      <c r="Q52" s="165" t="str" cm="1">
        <f t="array" ref="Q52">_xlfn.IFS(Tabla3[[#This Row],[Días CGR]]&lt;=15,"A tiempo",Tabla3[[#This Row],[Días CGR]]="","",Tabla3[[#This Row],[Días CGR]]&gt;15,"En retraso")</f>
        <v>A tiempo</v>
      </c>
      <c r="S52" s="37"/>
    </row>
    <row r="53" spans="2:19" customFormat="1" ht="125.4" customHeight="1">
      <c r="B53" s="113">
        <f t="shared" si="1"/>
        <v>44</v>
      </c>
      <c r="C53" s="45" t="str">
        <f>IFERROR(VLOOKUP(B53,Tabla1[],2,FALSE),"")</f>
        <v>R27</v>
      </c>
      <c r="D53" s="45" t="str">
        <f>IFERROR(VLOOKUP(B53,Tabla1[],3,FALSE),"")</f>
        <v xml:space="preserve">Reclamación </v>
      </c>
      <c r="E53" s="45" t="str">
        <f>IFERROR(VLOOKUP(B53,Tabla1[],5,FALSE),"")</f>
        <v>T4</v>
      </c>
      <c r="F53" s="45">
        <f>IFERROR(VLOOKUP(B53,Tabla1[],6,FALSE),"")</f>
        <v>2022</v>
      </c>
      <c r="G53" s="45" t="str">
        <f>IFERROR(VLOOKUP(Tabla3[[#This Row],[No.]],Tabla1[],19,FALSE),"")</f>
        <v>Externo</v>
      </c>
      <c r="H53" s="45" t="str">
        <f>IFERROR(VLOOKUP(Tabla3[[#This Row],[No.]],Tabla1[],18,FALSE),"")</f>
        <v>Correo Electrónico</v>
      </c>
      <c r="I53" s="97" t="s">
        <v>363</v>
      </c>
      <c r="J53" s="97" t="s">
        <v>364</v>
      </c>
      <c r="K53" s="97" t="s">
        <v>365</v>
      </c>
      <c r="L53" s="54">
        <v>44907</v>
      </c>
      <c r="M53" s="54">
        <v>44907</v>
      </c>
      <c r="N53" s="47" t="s">
        <v>338</v>
      </c>
      <c r="O53" s="127" t="str">
        <f>IF(Tabla3[[#This Row],[Fecha de Fin ]]&lt;&gt;"","Cerrado","")</f>
        <v>Cerrado</v>
      </c>
      <c r="P53" s="114">
        <f>IFERROR(IF(+NETWORKDAYS(L53,M53,Hoja3!A44:A84)-1&gt;=0,+NETWORKDAYS(L53,M53,Hoja3!A44:A84)-1,""),"")</f>
        <v>0</v>
      </c>
      <c r="Q53" s="165" t="str" cm="1">
        <f t="array" ref="Q53">_xlfn.IFS(Tabla3[[#This Row],[Días CGR]]&lt;=15,"A tiempo",Tabla3[[#This Row],[Días CGR]]="","",Tabla3[[#This Row],[Días CGR]]&gt;15,"En retraso")</f>
        <v>A tiempo</v>
      </c>
    </row>
    <row r="54" spans="2:19">
      <c r="B54" s="113">
        <f t="shared" si="1"/>
        <v>45</v>
      </c>
      <c r="C54" s="45" t="str">
        <f>IFERROR(VLOOKUP(B54,Tabla1[],2,FALSE),"")</f>
        <v>Q14</v>
      </c>
      <c r="D54" s="45" t="str">
        <f>IFERROR(VLOOKUP(B54,Tabla1[],3,FALSE),"")</f>
        <v>Queja</v>
      </c>
      <c r="E54" s="45" t="str">
        <f>IFERROR(VLOOKUP(B54,Tabla1[],5,FALSE),"")</f>
        <v>T4</v>
      </c>
      <c r="F54" s="45">
        <f>IFERROR(VLOOKUP(B54,Tabla1[],6,FALSE),"")</f>
        <v>2022</v>
      </c>
      <c r="G54" s="45" t="str">
        <f>IFERROR(VLOOKUP(Tabla3[[#This Row],[No.]],Tabla1[],19,FALSE),"")</f>
        <v>Interno</v>
      </c>
      <c r="H54" s="45" t="str">
        <f>IFERROR(VLOOKUP(Tabla3[[#This Row],[No.]],Tabla1[],18,FALSE),"")</f>
        <v>Buzón Físico</v>
      </c>
      <c r="I54" s="97"/>
      <c r="J54" s="97"/>
      <c r="K54" s="181"/>
      <c r="L54" s="54">
        <v>44907</v>
      </c>
      <c r="M54" s="54">
        <v>44916</v>
      </c>
      <c r="N54" s="47" t="s">
        <v>338</v>
      </c>
      <c r="O54" s="127" t="str">
        <f>IF(Tabla3[[#This Row],[Fecha de Fin ]]&lt;&gt;"","Cerrado","")</f>
        <v>Cerrado</v>
      </c>
      <c r="P54" s="114">
        <f>IFERROR(IF(+NETWORKDAYS(L54,M54,Hoja3!A45:A85)-1&gt;=0,+NETWORKDAYS(L54,M54,Hoja3!A45:A85)-1,""),"")</f>
        <v>7</v>
      </c>
      <c r="Q54" s="165" t="str" cm="1">
        <f t="array" ref="Q54">_xlfn.IFS(Tabla3[[#This Row],[Días CGR]]&lt;=15,"A tiempo",Tabla3[[#This Row],[Días CGR]]="","",Tabla3[[#This Row],[Días CGR]]&gt;15,"En retraso")</f>
        <v>A tiempo</v>
      </c>
      <c r="S54" s="37"/>
    </row>
    <row r="55" spans="2:19" customFormat="1" ht="141.6" customHeight="1">
      <c r="B55" s="113">
        <f t="shared" si="1"/>
        <v>46</v>
      </c>
      <c r="C55" s="45" t="str">
        <f>IFERROR(VLOOKUP(B55,Tabla1[],2,FALSE),"")</f>
        <v>Q15</v>
      </c>
      <c r="D55" s="45" t="str">
        <f>IFERROR(VLOOKUP(B55,Tabla1[],3,FALSE),"")</f>
        <v>Queja</v>
      </c>
      <c r="E55" s="45" t="str">
        <f>IFERROR(VLOOKUP(B55,Tabla1[],5,FALSE),"")</f>
        <v>T4</v>
      </c>
      <c r="F55" s="45">
        <f>IFERROR(VLOOKUP(B55,Tabla1[],6,FALSE),"")</f>
        <v>2022</v>
      </c>
      <c r="G55" s="45" t="str">
        <f>IFERROR(VLOOKUP(Tabla3[[#This Row],[No.]],Tabla1[],19,FALSE),"")</f>
        <v>Interno</v>
      </c>
      <c r="H55" s="45" t="str">
        <f>IFERROR(VLOOKUP(Tabla3[[#This Row],[No.]],Tabla1[],18,FALSE),"")</f>
        <v>Buzón Físico</v>
      </c>
      <c r="I55" s="97" t="s">
        <v>369</v>
      </c>
      <c r="J55" s="97" t="s">
        <v>370</v>
      </c>
      <c r="K55" s="97" t="s">
        <v>371</v>
      </c>
      <c r="L55" s="54">
        <v>44907</v>
      </c>
      <c r="M55" s="54">
        <v>44916</v>
      </c>
      <c r="N55" s="47" t="s">
        <v>372</v>
      </c>
      <c r="O55" s="127" t="str">
        <f>IF(Tabla3[[#This Row],[Fecha de Fin ]]&lt;&gt;"","Cerrado","")</f>
        <v>Cerrado</v>
      </c>
      <c r="P55" s="114">
        <f>IFERROR(IF(+NETWORKDAYS(L55,M55,Hoja3!A46:A86)-1&gt;=0,+NETWORKDAYS(L55,M55,Hoja3!A46:A86)-1,""),"")</f>
        <v>7</v>
      </c>
      <c r="Q55" s="165" t="str" cm="1">
        <f t="array" ref="Q55">_xlfn.IFS(Tabla3[[#This Row],[Días CGR]]&lt;=15,"A tiempo",Tabla3[[#This Row],[Días CGR]]="","",Tabla3[[#This Row],[Días CGR]]&gt;15,"En retraso")</f>
        <v>A tiempo</v>
      </c>
    </row>
    <row r="56" spans="2:19" ht="86.4">
      <c r="B56" s="113">
        <f t="shared" si="1"/>
        <v>47</v>
      </c>
      <c r="C56" s="45" t="str">
        <f>IFERROR(VLOOKUP(B56,Tabla1[],2,FALSE),"")</f>
        <v>R28</v>
      </c>
      <c r="D56" s="45" t="str">
        <f>IFERROR(VLOOKUP(B56,Tabla1[],3,FALSE),"")</f>
        <v xml:space="preserve">Reclamación </v>
      </c>
      <c r="E56" s="45" t="str">
        <f>IFERROR(VLOOKUP(B56,Tabla1[],5,FALSE),"")</f>
        <v>T4</v>
      </c>
      <c r="F56" s="45">
        <f>IFERROR(VLOOKUP(B56,Tabla1[],6,FALSE),"")</f>
        <v>2022</v>
      </c>
      <c r="G56" s="45" t="str">
        <f>IFERROR(VLOOKUP(Tabla3[[#This Row],[No.]],Tabla1[],19,FALSE),"")</f>
        <v>Externo</v>
      </c>
      <c r="H56" s="45" t="str">
        <f>IFERROR(VLOOKUP(Tabla3[[#This Row],[No.]],Tabla1[],18,FALSE),"")</f>
        <v>Buzón Web</v>
      </c>
      <c r="I56" s="97" t="s">
        <v>476</v>
      </c>
      <c r="J56" s="97" t="s">
        <v>477</v>
      </c>
      <c r="K56" s="181" t="s">
        <v>482</v>
      </c>
      <c r="L56" s="46">
        <v>45286</v>
      </c>
      <c r="M56" s="46">
        <v>45287</v>
      </c>
      <c r="N56" s="48" t="s">
        <v>94</v>
      </c>
      <c r="O56" s="127" t="str">
        <f>IF(Tabla3[[#This Row],[Fecha de Fin ]]&lt;&gt;"","Cerrado","")</f>
        <v>Cerrado</v>
      </c>
      <c r="P56" s="114">
        <f>IFERROR(IF(+NETWORKDAYS(L56,M56,Hoja3!A47:A87)-1&gt;=0,+NETWORKDAYS(L56,M56,Hoja3!A47:A87)-1,""),"")</f>
        <v>1</v>
      </c>
      <c r="Q56" s="165" t="str" cm="1">
        <f t="array" ref="Q56">_xlfn.IFS(Tabla3[[#This Row],[Días CGR]]&lt;=15,"A tiempo",Tabla3[[#This Row],[Días CGR]]="","",Tabla3[[#This Row],[Días CGR]]&gt;15,"En retraso")</f>
        <v>A tiempo</v>
      </c>
      <c r="S56" s="37"/>
    </row>
    <row r="57" spans="2:19" ht="87" customHeight="1">
      <c r="B57" s="113">
        <f t="shared" si="1"/>
        <v>48</v>
      </c>
      <c r="C57" s="45" t="str">
        <f>IFERROR(VLOOKUP(B57,Tabla1[],2,FALSE),"")</f>
        <v>R29</v>
      </c>
      <c r="D57" s="45" t="str">
        <f>IFERROR(VLOOKUP(B57,Tabla1[],3,FALSE),"")</f>
        <v xml:space="preserve">Reclamación </v>
      </c>
      <c r="E57" s="45" t="str">
        <f>IFERROR(VLOOKUP(B57,Tabla1[],5,FALSE),"")</f>
        <v>T1</v>
      </c>
      <c r="F57" s="45">
        <f>IFERROR(VLOOKUP(B57,Tabla1[],6,FALSE),"")</f>
        <v>2023</v>
      </c>
      <c r="G57" s="45" t="str">
        <f>IFERROR(VLOOKUP(Tabla3[[#This Row],[No.]],Tabla1[],19,FALSE),"")</f>
        <v>Externo</v>
      </c>
      <c r="H57" s="45" t="str">
        <f>IFERROR(VLOOKUP(Tabla3[[#This Row],[No.]],Tabla1[],18,FALSE),"")</f>
        <v>Buzón Web</v>
      </c>
      <c r="I57" s="97" t="s">
        <v>479</v>
      </c>
      <c r="J57" s="97" t="s">
        <v>477</v>
      </c>
      <c r="K57" s="97" t="s">
        <v>478</v>
      </c>
      <c r="L57" s="46">
        <v>44957</v>
      </c>
      <c r="M57" s="46">
        <v>44963</v>
      </c>
      <c r="N57" s="48" t="s">
        <v>94</v>
      </c>
      <c r="O57" s="127" t="str">
        <f>IF(Tabla3[[#This Row],[Fecha de Fin ]]&lt;&gt;"","Cerrado","")</f>
        <v>Cerrado</v>
      </c>
      <c r="P57" s="114">
        <f>IFERROR(IF(+NETWORKDAYS(L57,M57,Hoja3!A48:A88)-1&gt;=0,+NETWORKDAYS(L57,M57,Hoja3!A48:A88)-1,""),"")</f>
        <v>4</v>
      </c>
      <c r="Q57" s="165" t="str" cm="1">
        <f t="array" ref="Q57">_xlfn.IFS(Tabla3[[#This Row],[Días CGR]]&lt;=15,"A tiempo",Tabla3[[#This Row],[Días CGR]]="","",Tabla3[[#This Row],[Días CGR]]&gt;15,"En retraso")</f>
        <v>A tiempo</v>
      </c>
      <c r="S57" s="37"/>
    </row>
    <row r="58" spans="2:19" ht="86.4">
      <c r="B58" s="113">
        <f t="shared" si="1"/>
        <v>49</v>
      </c>
      <c r="C58" s="45" t="str">
        <f>IFERROR(VLOOKUP(B58,Tabla1[],2,FALSE),"")</f>
        <v>R30</v>
      </c>
      <c r="D58" s="45" t="str">
        <f>IFERROR(VLOOKUP(B58,Tabla1[],3,FALSE),"")</f>
        <v xml:space="preserve">Reclamación </v>
      </c>
      <c r="E58" s="45" t="str">
        <f>IFERROR(VLOOKUP(B58,Tabla1[],5,FALSE),"")</f>
        <v>T1</v>
      </c>
      <c r="F58" s="45">
        <f>IFERROR(VLOOKUP(B58,Tabla1[],6,FALSE),"")</f>
        <v>2023</v>
      </c>
      <c r="G58" s="45" t="str">
        <f>IFERROR(VLOOKUP(Tabla3[[#This Row],[No.]],Tabla1[],19,FALSE),"")</f>
        <v xml:space="preserve">Externo </v>
      </c>
      <c r="H58" s="45" t="str">
        <f>IFERROR(VLOOKUP(Tabla3[[#This Row],[No.]],Tabla1[],18,FALSE),"")</f>
        <v>Buzón Web</v>
      </c>
      <c r="I58" s="97" t="s">
        <v>479</v>
      </c>
      <c r="J58" s="97" t="s">
        <v>477</v>
      </c>
      <c r="K58" s="181" t="s">
        <v>480</v>
      </c>
      <c r="L58" s="46">
        <v>44963</v>
      </c>
      <c r="M58" s="46">
        <v>44965</v>
      </c>
      <c r="N58" s="48" t="s">
        <v>94</v>
      </c>
      <c r="O58" s="127" t="str">
        <f>IF(Tabla3[[#This Row],[Fecha de Fin ]]&lt;&gt;"","Cerrado","")</f>
        <v>Cerrado</v>
      </c>
      <c r="P58" s="114">
        <f>IFERROR(IF(+NETWORKDAYS(L58,M58,Hoja3!A49:A89)-1&gt;=0,+NETWORKDAYS(L58,M58,Hoja3!A49:A89)-1,""),"")</f>
        <v>2</v>
      </c>
      <c r="Q58" s="165" t="str" cm="1">
        <f t="array" ref="Q58">_xlfn.IFS(Tabla3[[#This Row],[Días CGR]]&lt;=15,"A tiempo",Tabla3[[#This Row],[Días CGR]]="","",Tabla3[[#This Row],[Días CGR]]&gt;15,"En retraso")</f>
        <v>A tiempo</v>
      </c>
      <c r="S58" s="37"/>
    </row>
    <row r="59" spans="2:19" ht="93.6" customHeight="1">
      <c r="B59" s="113">
        <f>ROW(A59)-ROW($A$9)</f>
        <v>50</v>
      </c>
      <c r="C59" s="41" t="str">
        <f>IFERROR(VLOOKUP(B59,Tabla1[],2,FALSE),"")</f>
        <v>311-5</v>
      </c>
      <c r="D59" s="45" t="str">
        <f>IFERROR(VLOOKUP(B59,Tabla1[],3,FALSE),"")</f>
        <v xml:space="preserve">Sugerencia </v>
      </c>
      <c r="E59" s="45" t="str">
        <f>IFERROR(VLOOKUP(B59,Tabla1[],5,FALSE),"")</f>
        <v>T1</v>
      </c>
      <c r="F59" s="45">
        <f>IFERROR(VLOOKUP(B59,Tabla1[],6,FALSE),"")</f>
        <v>2023</v>
      </c>
      <c r="G59" s="45" t="str">
        <f>IFERROR(VLOOKUP(Tabla3[[#This Row],[No.]],Tabla1[],19,FALSE),"")</f>
        <v xml:space="preserve">Externo </v>
      </c>
      <c r="H59" s="45" t="str">
        <f>IFERROR(VLOOKUP(Tabla3[[#This Row],[No.]],Tabla1[],18,FALSE),"")</f>
        <v>Línea 311</v>
      </c>
      <c r="I59" s="97" t="s">
        <v>686</v>
      </c>
      <c r="J59" s="97" t="s">
        <v>409</v>
      </c>
      <c r="K59" s="97" t="s">
        <v>409</v>
      </c>
      <c r="L59" s="46" t="s">
        <v>409</v>
      </c>
      <c r="M59" s="46" t="s">
        <v>409</v>
      </c>
      <c r="N59" s="48" t="s">
        <v>409</v>
      </c>
      <c r="O59" s="127" t="str">
        <f>IF(Tabla3[[#This Row],[Fecha de Fin ]]&lt;&gt;"","Cerrado","")</f>
        <v>Cerrado</v>
      </c>
      <c r="P59" s="114" t="str">
        <f>IFERROR(IF(+NETWORKDAYS(L59,M59,Hoja3!A50:A90)-1&gt;=0,+NETWORKDAYS(L59,M59,Hoja3!A50:A90)-1,""),"")</f>
        <v/>
      </c>
      <c r="Q59" s="165" t="str" cm="1">
        <f t="array" ref="Q59">_xlfn.IFS(Tabla3[[#This Row],[Días CGR]]&lt;=15,"A tiempo",Tabla3[[#This Row],[Días CGR]]="","",Tabla3[[#This Row],[Días CGR]]&gt;15,"En retraso")</f>
        <v/>
      </c>
      <c r="S59" s="37"/>
    </row>
    <row r="60" spans="2:19" ht="86.4">
      <c r="B60" s="113">
        <f t="shared" si="1"/>
        <v>51</v>
      </c>
      <c r="C60" s="45" t="str">
        <f>IFERROR(VLOOKUP(B60,Tabla1[],2,FALSE),"")</f>
        <v>R31</v>
      </c>
      <c r="D60" s="45" t="str">
        <f>IFERROR(VLOOKUP(B60,Tabla1[],3,FALSE),"")</f>
        <v xml:space="preserve">Reclamación </v>
      </c>
      <c r="E60" s="45" t="str">
        <f>IFERROR(VLOOKUP(B60,Tabla1[],5,FALSE),"")</f>
        <v>T1</v>
      </c>
      <c r="F60" s="45">
        <f>IFERROR(VLOOKUP(B60,Tabla1[],6,FALSE),"")</f>
        <v>2023</v>
      </c>
      <c r="G60" s="45" t="str">
        <f>IFERROR(VLOOKUP(Tabla3[[#This Row],[No.]],Tabla1[],19,FALSE),"")</f>
        <v>Externo</v>
      </c>
      <c r="H60" s="45" t="str">
        <f>IFERROR(VLOOKUP(Tabla3[[#This Row],[No.]],Tabla1[],18,FALSE),"")</f>
        <v>Buzón Web</v>
      </c>
      <c r="I60" s="97" t="s">
        <v>481</v>
      </c>
      <c r="J60" s="97" t="s">
        <v>477</v>
      </c>
      <c r="K60" s="181" t="s">
        <v>546</v>
      </c>
      <c r="L60" s="46">
        <v>45063</v>
      </c>
      <c r="M60" s="46">
        <v>45065</v>
      </c>
      <c r="N60" s="48" t="s">
        <v>94</v>
      </c>
      <c r="O60" s="127" t="str">
        <f>IF(Tabla3[[#This Row],[Fecha de Fin ]]&lt;&gt;"","Cerrado","")</f>
        <v>Cerrado</v>
      </c>
      <c r="P60" s="114">
        <f>IFERROR(IF(+NETWORKDAYS(L60,M60,Hoja3!A51:A91)-1&gt;=0,+NETWORKDAYS(L60,M60,Hoja3!A51:A91)-1,""),"")</f>
        <v>2</v>
      </c>
      <c r="Q60" s="165" t="str" cm="1">
        <f t="array" ref="Q60">_xlfn.IFS(Tabla3[[#This Row],[Días CGR]]&lt;=15,"A tiempo",Tabla3[[#This Row],[Días CGR]]="","",Tabla3[[#This Row],[Días CGR]]&gt;15,"En retraso")</f>
        <v>A tiempo</v>
      </c>
      <c r="S60" s="37"/>
    </row>
    <row r="61" spans="2:19" ht="102.6" customHeight="1">
      <c r="B61" s="113">
        <f t="shared" si="1"/>
        <v>52</v>
      </c>
      <c r="C61" s="45" t="str">
        <f>IFERROR(VLOOKUP(B61,Tabla1[],2,FALSE),"")</f>
        <v>R32</v>
      </c>
      <c r="D61" s="45" t="str">
        <f>IFERROR(VLOOKUP(B61,Tabla1[],3,FALSE),"")</f>
        <v xml:space="preserve">Reclamación </v>
      </c>
      <c r="E61" s="45" t="str">
        <f>IFERROR(VLOOKUP(B61,Tabla1[],5,FALSE),"")</f>
        <v>T1</v>
      </c>
      <c r="F61" s="45">
        <f>IFERROR(VLOOKUP(B61,Tabla1[],6,FALSE),"")</f>
        <v>2023</v>
      </c>
      <c r="G61" s="45" t="str">
        <f>IFERROR(VLOOKUP(Tabla3[[#This Row],[No.]],Tabla1[],19,FALSE),"")</f>
        <v xml:space="preserve">Externo </v>
      </c>
      <c r="H61" s="45" t="str">
        <f>IFERROR(VLOOKUP(Tabla3[[#This Row],[No.]],Tabla1[],18,FALSE),"")</f>
        <v>Buzón Web</v>
      </c>
      <c r="I61" s="97" t="s">
        <v>481</v>
      </c>
      <c r="J61" s="97" t="s">
        <v>477</v>
      </c>
      <c r="K61" s="97" t="s">
        <v>546</v>
      </c>
      <c r="L61" s="46">
        <v>45063</v>
      </c>
      <c r="M61" s="46">
        <v>45065</v>
      </c>
      <c r="N61" s="48" t="s">
        <v>94</v>
      </c>
      <c r="O61" s="127" t="str">
        <f>IF(Tabla3[[#This Row],[Fecha de Fin ]]&lt;&gt;"","Cerrado","")</f>
        <v>Cerrado</v>
      </c>
      <c r="P61" s="114">
        <f>IFERROR(IF(+NETWORKDAYS(L61,M61,Hoja3!A52:A92)-1&gt;=0,+NETWORKDAYS(L61,M61,Hoja3!A52:A92)-1,""),"")</f>
        <v>2</v>
      </c>
      <c r="Q61" s="165" t="str" cm="1">
        <f t="array" ref="Q61">_xlfn.IFS(Tabla3[[#This Row],[Días CGR]]&lt;=15,"A tiempo",Tabla3[[#This Row],[Días CGR]]="","",Tabla3[[#This Row],[Días CGR]]&gt;15,"En retraso")</f>
        <v>A tiempo</v>
      </c>
      <c r="S61" s="37"/>
    </row>
    <row r="62" spans="2:19" ht="86.4">
      <c r="B62" s="113">
        <f t="shared" si="1"/>
        <v>53</v>
      </c>
      <c r="C62" s="45" t="str">
        <f>IFERROR(VLOOKUP(B62,Tabla1[],2,FALSE),"")</f>
        <v>R33</v>
      </c>
      <c r="D62" s="45" t="str">
        <f>IFERROR(VLOOKUP(B62,Tabla1[],3,FALSE),"")</f>
        <v xml:space="preserve">Reclamación </v>
      </c>
      <c r="E62" s="45" t="str">
        <f>IFERROR(VLOOKUP(B62,Tabla1[],5,FALSE),"")</f>
        <v>T1</v>
      </c>
      <c r="F62" s="45">
        <f>IFERROR(VLOOKUP(B62,Tabla1[],6,FALSE),"")</f>
        <v>2023</v>
      </c>
      <c r="G62" s="45" t="str">
        <f>IFERROR(VLOOKUP(Tabla3[[#This Row],[No.]],Tabla1[],19,FALSE),"")</f>
        <v xml:space="preserve">Externo </v>
      </c>
      <c r="H62" s="45" t="str">
        <f>IFERROR(VLOOKUP(Tabla3[[#This Row],[No.]],Tabla1[],18,FALSE),"")</f>
        <v>Buzón Web</v>
      </c>
      <c r="I62" s="97" t="s">
        <v>483</v>
      </c>
      <c r="J62" s="97" t="s">
        <v>477</v>
      </c>
      <c r="K62" s="181" t="s">
        <v>484</v>
      </c>
      <c r="L62" s="46">
        <v>45064</v>
      </c>
      <c r="M62" s="46">
        <v>45064</v>
      </c>
      <c r="N62" s="48" t="s">
        <v>94</v>
      </c>
      <c r="O62" s="127" t="str">
        <f>IF(Tabla3[[#This Row],[Fecha de Fin ]]&lt;&gt;"","Cerrado","")</f>
        <v>Cerrado</v>
      </c>
      <c r="P62" s="114">
        <f>IFERROR(IF(+NETWORKDAYS(L62,M62,Hoja3!A53:A93)-1&gt;=0,+NETWORKDAYS(L62,M62,Hoja3!A53:A93)-1,""),"")</f>
        <v>0</v>
      </c>
      <c r="Q62" s="165" t="str" cm="1">
        <f t="array" ref="Q62">_xlfn.IFS(Tabla3[[#This Row],[Días CGR]]&lt;=15,"A tiempo",Tabla3[[#This Row],[Días CGR]]="","",Tabla3[[#This Row],[Días CGR]]&gt;15,"En retraso")</f>
        <v>A tiempo</v>
      </c>
      <c r="S62" s="37"/>
    </row>
    <row r="63" spans="2:19" ht="57.6">
      <c r="B63" s="113">
        <f t="shared" si="1"/>
        <v>54</v>
      </c>
      <c r="C63" s="45" t="str">
        <f>IFERROR(VLOOKUP(B63,Tabla1[],2,FALSE),"")</f>
        <v>R34</v>
      </c>
      <c r="D63" s="45" t="str">
        <f>IFERROR(VLOOKUP(B63,Tabla1[],3,FALSE),"")</f>
        <v xml:space="preserve">Reclamación </v>
      </c>
      <c r="E63" s="45" t="str">
        <f>IFERROR(VLOOKUP(B63,Tabla1[],5,FALSE),"")</f>
        <v>T1</v>
      </c>
      <c r="F63" s="45">
        <f>IFERROR(VLOOKUP(B63,Tabla1[],6,FALSE),"")</f>
        <v>2023</v>
      </c>
      <c r="G63" s="45" t="str">
        <f>IFERROR(VLOOKUP(Tabla3[[#This Row],[No.]],Tabla1[],19,FALSE),"")</f>
        <v xml:space="preserve">Externo </v>
      </c>
      <c r="H63" s="45" t="str">
        <f>IFERROR(VLOOKUP(Tabla3[[#This Row],[No.]],Tabla1[],18,FALSE),"")</f>
        <v>Buzón Web</v>
      </c>
      <c r="I63" s="97" t="s">
        <v>491</v>
      </c>
      <c r="J63" s="97" t="s">
        <v>488</v>
      </c>
      <c r="K63" s="181" t="s">
        <v>489</v>
      </c>
      <c r="L63" s="46">
        <v>45069</v>
      </c>
      <c r="M63" s="46">
        <v>45069</v>
      </c>
      <c r="N63" s="48" t="s">
        <v>94</v>
      </c>
      <c r="O63" s="127" t="str">
        <f>IF(Tabla3[[#This Row],[Fecha de Fin ]]&lt;&gt;"","Cerrado","")</f>
        <v>Cerrado</v>
      </c>
      <c r="P63" s="114">
        <f>IFERROR(IF(+NETWORKDAYS(L63,M63,Hoja3!A54:A94)-1&gt;=0,+NETWORKDAYS(L63,M63,Hoja3!A54:A94)-1,""),"")</f>
        <v>0</v>
      </c>
      <c r="Q63" s="165" t="str" cm="1">
        <f t="array" ref="Q63">_xlfn.IFS(Tabla3[[#This Row],[Días CGR]]&lt;=15,"A tiempo",Tabla3[[#This Row],[Días CGR]]="","",Tabla3[[#This Row],[Días CGR]]&gt;15,"En retraso")</f>
        <v>A tiempo</v>
      </c>
      <c r="S63" s="37"/>
    </row>
    <row r="64" spans="2:19" ht="86.4">
      <c r="B64" s="113">
        <f t="shared" si="1"/>
        <v>55</v>
      </c>
      <c r="C64" s="45" t="str">
        <f>IFERROR(VLOOKUP(B64,Tabla1[],2,FALSE),"")</f>
        <v>R35</v>
      </c>
      <c r="D64" s="45" t="str">
        <f>IFERROR(VLOOKUP(B64,Tabla1[],3,FALSE),"")</f>
        <v xml:space="preserve">Reclamación </v>
      </c>
      <c r="E64" s="45" t="str">
        <f>IFERROR(VLOOKUP(B64,Tabla1[],5,FALSE),"")</f>
        <v>T1</v>
      </c>
      <c r="F64" s="45">
        <f>IFERROR(VLOOKUP(B64,Tabla1[],6,FALSE),"")</f>
        <v>2023</v>
      </c>
      <c r="G64" s="45" t="str">
        <f>IFERROR(VLOOKUP(Tabla3[[#This Row],[No.]],Tabla1[],19,FALSE),"")</f>
        <v xml:space="preserve">Externo </v>
      </c>
      <c r="H64" s="45" t="str">
        <f>IFERROR(VLOOKUP(Tabla3[[#This Row],[No.]],Tabla1[],18,FALSE),"")</f>
        <v>Buzón Web</v>
      </c>
      <c r="I64" s="97" t="s">
        <v>490</v>
      </c>
      <c r="J64" s="97" t="s">
        <v>477</v>
      </c>
      <c r="K64" s="181" t="s">
        <v>503</v>
      </c>
      <c r="L64" s="46">
        <v>45063</v>
      </c>
      <c r="M64" s="46">
        <v>45064</v>
      </c>
      <c r="N64" s="48" t="s">
        <v>94</v>
      </c>
      <c r="O64" s="127" t="str">
        <f>IF(Tabla3[[#This Row],[Fecha de Fin ]]&lt;&gt;"","Cerrado","")</f>
        <v>Cerrado</v>
      </c>
      <c r="P64" s="114">
        <f>IFERROR(IF(+NETWORKDAYS(L64,M64,Hoja3!A55:A95)-1&gt;=0,+NETWORKDAYS(L64,M64,Hoja3!A55:A95)-1,""),"")</f>
        <v>1</v>
      </c>
      <c r="Q64" s="165" t="str" cm="1">
        <f t="array" ref="Q64">_xlfn.IFS(Tabla3[[#This Row],[Días CGR]]&lt;=15,"A tiempo",Tabla3[[#This Row],[Días CGR]]="","",Tabla3[[#This Row],[Días CGR]]&gt;15,"En retraso")</f>
        <v>A tiempo</v>
      </c>
      <c r="S64" s="37"/>
    </row>
    <row r="65" spans="2:19" ht="86.4">
      <c r="B65" s="113">
        <f t="shared" si="1"/>
        <v>56</v>
      </c>
      <c r="C65" s="45" t="str">
        <f>IFERROR(VLOOKUP(B65,Tabla1[],2,FALSE),"")</f>
        <v>R36</v>
      </c>
      <c r="D65" s="45" t="str">
        <f>IFERROR(VLOOKUP(B65,Tabla1[],3,FALSE),"")</f>
        <v xml:space="preserve">Reclamación </v>
      </c>
      <c r="E65" s="45" t="str">
        <f>IFERROR(VLOOKUP(B65,Tabla1[],5,FALSE),"")</f>
        <v>T1</v>
      </c>
      <c r="F65" s="45">
        <f>IFERROR(VLOOKUP(B65,Tabla1[],6,FALSE),"")</f>
        <v>2023</v>
      </c>
      <c r="G65" s="45" t="str">
        <f>IFERROR(VLOOKUP(Tabla3[[#This Row],[No.]],Tabla1[],19,FALSE),"")</f>
        <v xml:space="preserve">Externo </v>
      </c>
      <c r="H65" s="45" t="str">
        <f>IFERROR(VLOOKUP(Tabla3[[#This Row],[No.]],Tabla1[],18,FALSE),"")</f>
        <v>Buzón Web</v>
      </c>
      <c r="I65" s="97" t="s">
        <v>493</v>
      </c>
      <c r="J65" s="97" t="s">
        <v>477</v>
      </c>
      <c r="K65" s="181" t="s">
        <v>502</v>
      </c>
      <c r="L65" s="46">
        <v>45068</v>
      </c>
      <c r="M65" s="46">
        <v>45068</v>
      </c>
      <c r="N65" s="125" t="s">
        <v>94</v>
      </c>
      <c r="O65" s="127" t="str">
        <f>IF(Tabla3[[#This Row],[Fecha de Fin ]]&lt;&gt;"","Cerrado","")</f>
        <v>Cerrado</v>
      </c>
      <c r="P65" s="114">
        <f>IFERROR(IF(+NETWORKDAYS(L65,M65,Hoja3!A56:A96)-1&gt;=0,+NETWORKDAYS(L65,M65,Hoja3!A56:A96)-1,""),"")</f>
        <v>0</v>
      </c>
      <c r="Q65" s="165" t="str" cm="1">
        <f t="array" ref="Q65">_xlfn.IFS(Tabla3[[#This Row],[Días CGR]]&lt;=15,"A tiempo",Tabla3[[#This Row],[Días CGR]]="","",Tabla3[[#This Row],[Días CGR]]&gt;15,"En retraso")</f>
        <v>A tiempo</v>
      </c>
      <c r="S65" s="37"/>
    </row>
    <row r="66" spans="2:19" ht="57.6">
      <c r="B66" s="113">
        <f t="shared" si="1"/>
        <v>57</v>
      </c>
      <c r="C66" s="45" t="str">
        <f>IFERROR(VLOOKUP(B66,Tabla1[],2,FALSE),"")</f>
        <v>Q16</v>
      </c>
      <c r="D66" s="45" t="str">
        <f>IFERROR(VLOOKUP(B66,Tabla1[],3,FALSE),"")</f>
        <v>Queja</v>
      </c>
      <c r="E66" s="45" t="str">
        <f>IFERROR(VLOOKUP(B66,Tabla1[],5,FALSE),"")</f>
        <v>T1</v>
      </c>
      <c r="F66" s="45">
        <f>IFERROR(VLOOKUP(B66,Tabla1[],6,FALSE),"")</f>
        <v>2023</v>
      </c>
      <c r="G66" s="45" t="str">
        <f>IFERROR(VLOOKUP(Tabla3[[#This Row],[No.]],Tabla1[],19,FALSE),"")</f>
        <v xml:space="preserve">Externo </v>
      </c>
      <c r="H66" s="45" t="str">
        <f>IFERROR(VLOOKUP(Tabla3[[#This Row],[No.]],Tabla1[],18,FALSE),"")</f>
        <v>Buzón Web</v>
      </c>
      <c r="I66" s="97" t="s">
        <v>492</v>
      </c>
      <c r="J66" s="97" t="s">
        <v>464</v>
      </c>
      <c r="K66" s="125" t="s">
        <v>79</v>
      </c>
      <c r="L66" s="46">
        <v>44988</v>
      </c>
      <c r="M66" s="46">
        <v>44988</v>
      </c>
      <c r="N66" s="48" t="s">
        <v>94</v>
      </c>
      <c r="O66" s="127" t="str">
        <f>IF(Tabla3[[#This Row],[Fecha de Fin ]]&lt;&gt;"","Cerrado","")</f>
        <v>Cerrado</v>
      </c>
      <c r="P66" s="114">
        <f>IFERROR(IF(+NETWORKDAYS(L66,M66,Hoja3!A57:A97)-1&gt;=0,+NETWORKDAYS(L66,M66,Hoja3!A57:A97)-1,""),"")</f>
        <v>0</v>
      </c>
      <c r="Q66" s="165" t="str" cm="1">
        <f t="array" ref="Q66">_xlfn.IFS(Tabla3[[#This Row],[Días CGR]]&lt;=15,"A tiempo",Tabla3[[#This Row],[Días CGR]]="","",Tabla3[[#This Row],[Días CGR]]&gt;15,"En retraso")</f>
        <v>A tiempo</v>
      </c>
      <c r="S66" s="37"/>
    </row>
    <row r="67" spans="2:19" ht="73.8" customHeight="1">
      <c r="B67" s="113">
        <f t="shared" si="1"/>
        <v>58</v>
      </c>
      <c r="C67" s="45" t="str">
        <f>IFERROR(VLOOKUP(B67,Tabla1[],2,FALSE),"")</f>
        <v>R37</v>
      </c>
      <c r="D67" s="45" t="str">
        <f>IFERROR(VLOOKUP(B67,Tabla1[],3,FALSE),"")</f>
        <v xml:space="preserve">Reclamación </v>
      </c>
      <c r="E67" s="45" t="str">
        <f>IFERROR(VLOOKUP(B67,Tabla1[],5,FALSE),"")</f>
        <v>T1</v>
      </c>
      <c r="F67" s="45">
        <f>IFERROR(VLOOKUP(B67,Tabla1[],6,FALSE),"")</f>
        <v>2023</v>
      </c>
      <c r="G67" s="45" t="str">
        <f>IFERROR(VLOOKUP(Tabla3[[#This Row],[No.]],Tabla1[],19,FALSE),"")</f>
        <v xml:space="preserve">Externo </v>
      </c>
      <c r="H67" s="45" t="str">
        <f>IFERROR(VLOOKUP(Tabla3[[#This Row],[No.]],Tabla1[],18,FALSE),"")</f>
        <v>Buzón Web</v>
      </c>
      <c r="I67" s="97" t="s">
        <v>494</v>
      </c>
      <c r="J67" s="97" t="s">
        <v>477</v>
      </c>
      <c r="K67" s="181" t="s">
        <v>495</v>
      </c>
      <c r="L67" s="46">
        <v>45064</v>
      </c>
      <c r="M67" s="46">
        <v>45064</v>
      </c>
      <c r="N67" s="48" t="s">
        <v>94</v>
      </c>
      <c r="O67" s="127" t="str">
        <f>IF(Tabla3[[#This Row],[Fecha de Fin ]]&lt;&gt;"","Cerrado","")</f>
        <v>Cerrado</v>
      </c>
      <c r="P67" s="114">
        <f>IFERROR(IF(+NETWORKDAYS(L67,M67,Hoja3!A58:A98)-1&gt;=0,+NETWORKDAYS(L67,M67,Hoja3!A58:A98)-1,""),"")</f>
        <v>0</v>
      </c>
      <c r="Q67" s="165" t="str" cm="1">
        <f t="array" ref="Q67">_xlfn.IFS(Tabla3[[#This Row],[Días CGR]]&lt;=15,"A tiempo",Tabla3[[#This Row],[Días CGR]]="","",Tabla3[[#This Row],[Días CGR]]&gt;15,"En retraso")</f>
        <v>A tiempo</v>
      </c>
      <c r="S67" s="37"/>
    </row>
    <row r="68" spans="2:19" ht="86.4">
      <c r="B68" s="113">
        <f t="shared" si="1"/>
        <v>59</v>
      </c>
      <c r="C68" s="45" t="str">
        <f>IFERROR(VLOOKUP(B68,Tabla1[],2,FALSE),"")</f>
        <v>R38</v>
      </c>
      <c r="D68" s="45" t="str">
        <f>IFERROR(VLOOKUP(B68,Tabla1[],3,FALSE),"")</f>
        <v xml:space="preserve">Reclamación </v>
      </c>
      <c r="E68" s="45" t="str">
        <f>IFERROR(VLOOKUP(B68,Tabla1[],5,FALSE),"")</f>
        <v>T1</v>
      </c>
      <c r="F68" s="45">
        <f>IFERROR(VLOOKUP(B68,Tabla1[],6,FALSE),"")</f>
        <v>2023</v>
      </c>
      <c r="G68" s="45" t="str">
        <f>IFERROR(VLOOKUP(Tabla3[[#This Row],[No.]],Tabla1[],19,FALSE),"")</f>
        <v xml:space="preserve">Externo </v>
      </c>
      <c r="H68" s="45" t="str">
        <f>IFERROR(VLOOKUP(Tabla3[[#This Row],[No.]],Tabla1[],18,FALSE),"")</f>
        <v>Buzón Web</v>
      </c>
      <c r="I68" s="97" t="s">
        <v>496</v>
      </c>
      <c r="J68" s="97" t="s">
        <v>477</v>
      </c>
      <c r="K68" s="181" t="s">
        <v>497</v>
      </c>
      <c r="L68" s="46">
        <v>45063</v>
      </c>
      <c r="M68" s="46">
        <v>45064</v>
      </c>
      <c r="N68" s="48" t="s">
        <v>94</v>
      </c>
      <c r="O68" s="127" t="str">
        <f>IF(Tabla3[[#This Row],[Fecha de Fin ]]&lt;&gt;"","Cerrado","")</f>
        <v>Cerrado</v>
      </c>
      <c r="P68" s="114">
        <f>IFERROR(IF(+NETWORKDAYS(L68,M68,Hoja3!A59:A99)-1&gt;=0,+NETWORKDAYS(L68,M68,Hoja3!A59:A99)-1,""),"")</f>
        <v>1</v>
      </c>
      <c r="Q68" s="165" t="str" cm="1">
        <f t="array" ref="Q68">_xlfn.IFS(Tabla3[[#This Row],[Días CGR]]&lt;=15,"A tiempo",Tabla3[[#This Row],[Días CGR]]="","",Tabla3[[#This Row],[Días CGR]]&gt;15,"En retraso")</f>
        <v>A tiempo</v>
      </c>
      <c r="S68" s="37"/>
    </row>
    <row r="69" spans="2:19" ht="76.2" customHeight="1">
      <c r="B69" s="113">
        <f t="shared" si="1"/>
        <v>60</v>
      </c>
      <c r="C69" s="45" t="str">
        <f>IFERROR(VLOOKUP(B69,Tabla1[],2,FALSE),"")</f>
        <v>R39</v>
      </c>
      <c r="D69" s="45" t="str">
        <f>IFERROR(VLOOKUP(B69,Tabla1[],3,FALSE),"")</f>
        <v xml:space="preserve">Reclamación </v>
      </c>
      <c r="E69" s="45" t="str">
        <f>IFERROR(VLOOKUP(B69,Tabla1[],5,FALSE),"")</f>
        <v>T1</v>
      </c>
      <c r="F69" s="45">
        <f>IFERROR(VLOOKUP(B69,Tabla1[],6,FALSE),"")</f>
        <v>2023</v>
      </c>
      <c r="G69" s="45" t="str">
        <f>IFERROR(VLOOKUP(Tabla3[[#This Row],[No.]],Tabla1[],19,FALSE),"")</f>
        <v xml:space="preserve">Externo </v>
      </c>
      <c r="H69" s="45" t="str">
        <f>IFERROR(VLOOKUP(Tabla3[[#This Row],[No.]],Tabla1[],18,FALSE),"")</f>
        <v>Buzón Web</v>
      </c>
      <c r="I69" s="97" t="s">
        <v>494</v>
      </c>
      <c r="J69" s="97" t="s">
        <v>477</v>
      </c>
      <c r="K69" s="181" t="s">
        <v>495</v>
      </c>
      <c r="L69" s="46">
        <v>45064</v>
      </c>
      <c r="M69" s="46">
        <v>45064</v>
      </c>
      <c r="N69" s="48" t="s">
        <v>94</v>
      </c>
      <c r="O69" s="127" t="str">
        <f>IF(Tabla3[[#This Row],[Fecha de Fin ]]&lt;&gt;"","Cerrado","")</f>
        <v>Cerrado</v>
      </c>
      <c r="P69" s="114">
        <f>IFERROR(IF(+NETWORKDAYS(L69,M69,Hoja3!A60:A100)-1&gt;=0,+NETWORKDAYS(L69,M69,Hoja3!A60:A100)-1,""),"")</f>
        <v>0</v>
      </c>
      <c r="Q69" s="165" t="str" cm="1">
        <f t="array" ref="Q69">_xlfn.IFS(Tabla3[[#This Row],[Días CGR]]&lt;=15,"A tiempo",Tabla3[[#This Row],[Días CGR]]="","",Tabla3[[#This Row],[Días CGR]]&gt;15,"En retraso")</f>
        <v>A tiempo</v>
      </c>
      <c r="S69" s="37"/>
    </row>
    <row r="70" spans="2:19" ht="132" customHeight="1">
      <c r="B70" s="113">
        <f t="shared" si="1"/>
        <v>61</v>
      </c>
      <c r="C70" s="45" t="str">
        <f>IFERROR(VLOOKUP(B70,Tabla1[],2,FALSE),"")</f>
        <v>R40</v>
      </c>
      <c r="D70" s="45" t="str">
        <f>IFERROR(VLOOKUP(B70,Tabla1[],3,FALSE),"")</f>
        <v xml:space="preserve">Reclamación </v>
      </c>
      <c r="E70" s="45" t="str">
        <f>IFERROR(VLOOKUP(B70,Tabla1[],5,FALSE),"")</f>
        <v>T1</v>
      </c>
      <c r="F70" s="45">
        <f>IFERROR(VLOOKUP(B70,Tabla1[],6,FALSE),"")</f>
        <v>2023</v>
      </c>
      <c r="G70" s="45" t="str">
        <f>IFERROR(VLOOKUP(Tabla3[[#This Row],[No.]],Tabla1[],19,FALSE),"")</f>
        <v xml:space="preserve">Externo </v>
      </c>
      <c r="H70" s="45" t="str">
        <f>IFERROR(VLOOKUP(Tabla3[[#This Row],[No.]],Tabla1[],18,FALSE),"")</f>
        <v>Buzón Web</v>
      </c>
      <c r="I70" s="97" t="s">
        <v>498</v>
      </c>
      <c r="J70" s="97" t="s">
        <v>477</v>
      </c>
      <c r="K70" s="181" t="s">
        <v>499</v>
      </c>
      <c r="L70" s="46">
        <v>45063</v>
      </c>
      <c r="M70" s="46">
        <v>45065</v>
      </c>
      <c r="N70" s="48" t="s">
        <v>94</v>
      </c>
      <c r="O70" s="127" t="str">
        <f>IF(Tabla3[[#This Row],[Fecha de Fin ]]&lt;&gt;"","Cerrado","")</f>
        <v>Cerrado</v>
      </c>
      <c r="P70" s="114">
        <f>IFERROR(IF(+NETWORKDAYS(L70,M70,Hoja3!A61:A101)-1&gt;=0,+NETWORKDAYS(L70,M70,Hoja3!A61:A101)-1,""),"")</f>
        <v>2</v>
      </c>
      <c r="Q70" s="165" t="str" cm="1">
        <f t="array" ref="Q70">_xlfn.IFS(Tabla3[[#This Row],[Días CGR]]&lt;=15,"A tiempo",Tabla3[[#This Row],[Días CGR]]="","",Tabla3[[#This Row],[Días CGR]]&gt;15,"En retraso")</f>
        <v>A tiempo</v>
      </c>
      <c r="S70" s="37"/>
    </row>
    <row r="71" spans="2:19" ht="100.8" customHeight="1">
      <c r="B71" s="113">
        <f t="shared" si="1"/>
        <v>62</v>
      </c>
      <c r="C71" s="45" t="str">
        <f>IFERROR(VLOOKUP(B71,Tabla1[],2,FALSE),"")</f>
        <v>R41</v>
      </c>
      <c r="D71" s="45" t="str">
        <f>IFERROR(VLOOKUP(B71,Tabla1[],3,FALSE),"")</f>
        <v xml:space="preserve">Reclamación </v>
      </c>
      <c r="E71" s="45" t="str">
        <f>IFERROR(VLOOKUP(B71,Tabla1[],5,FALSE),"")</f>
        <v>T1</v>
      </c>
      <c r="F71" s="45">
        <f>IFERROR(VLOOKUP(B71,Tabla1[],6,FALSE),"")</f>
        <v>2023</v>
      </c>
      <c r="G71" s="45" t="str">
        <f>IFERROR(VLOOKUP(Tabla3[[#This Row],[No.]],Tabla1[],19,FALSE),"")</f>
        <v xml:space="preserve">Externo </v>
      </c>
      <c r="H71" s="45" t="str">
        <f>IFERROR(VLOOKUP(Tabla3[[#This Row],[No.]],Tabla1[],18,FALSE),"")</f>
        <v>Buzón Web</v>
      </c>
      <c r="I71" s="97" t="s">
        <v>500</v>
      </c>
      <c r="J71" s="97" t="s">
        <v>477</v>
      </c>
      <c r="K71" s="181" t="s">
        <v>501</v>
      </c>
      <c r="L71" s="46">
        <v>45063</v>
      </c>
      <c r="M71" s="46">
        <v>45065</v>
      </c>
      <c r="N71" s="48" t="s">
        <v>94</v>
      </c>
      <c r="O71" s="127" t="str">
        <f>IF(Tabla3[[#This Row],[Fecha de Fin ]]&lt;&gt;"","Cerrado","")</f>
        <v>Cerrado</v>
      </c>
      <c r="P71" s="114">
        <f>IFERROR(IF(+NETWORKDAYS(L71,M71,Hoja3!A62:A102)-1&gt;=0,+NETWORKDAYS(L71,M71,Hoja3!A62:A102)-1,""),"")</f>
        <v>2</v>
      </c>
      <c r="Q71" s="165" t="str" cm="1">
        <f t="array" ref="Q71">_xlfn.IFS(Tabla3[[#This Row],[Días CGR]]&lt;=15,"A tiempo",Tabla3[[#This Row],[Días CGR]]="","",Tabla3[[#This Row],[Días CGR]]&gt;15,"En retraso")</f>
        <v>A tiempo</v>
      </c>
      <c r="S71" s="37"/>
    </row>
    <row r="72" spans="2:19" ht="86.4">
      <c r="B72" s="113">
        <f t="shared" si="1"/>
        <v>63</v>
      </c>
      <c r="C72" s="45" t="str">
        <f>IFERROR(VLOOKUP(B72,Tabla1[],2,FALSE),"")</f>
        <v>S03</v>
      </c>
      <c r="D72" s="45" t="str">
        <f>IFERROR(VLOOKUP(B72,Tabla1[],3,FALSE),"")</f>
        <v xml:space="preserve">Sugerencia </v>
      </c>
      <c r="E72" s="45" t="str">
        <f>IFERROR(VLOOKUP(B72,Tabla1[],5,FALSE),"")</f>
        <v>T1</v>
      </c>
      <c r="F72" s="45">
        <f>IFERROR(VLOOKUP(B72,Tabla1[],6,FALSE),"")</f>
        <v>2023</v>
      </c>
      <c r="G72" s="45" t="str">
        <f>IFERROR(VLOOKUP(Tabla3[[#This Row],[No.]],Tabla1[],19,FALSE),"")</f>
        <v xml:space="preserve">Externo </v>
      </c>
      <c r="H72" s="45" t="str">
        <f>IFERROR(VLOOKUP(Tabla3[[#This Row],[No.]],Tabla1[],18,FALSE),"")</f>
        <v>Buzón Web</v>
      </c>
      <c r="I72" s="97" t="s">
        <v>504</v>
      </c>
      <c r="J72" s="97" t="s">
        <v>477</v>
      </c>
      <c r="K72" s="181" t="s">
        <v>495</v>
      </c>
      <c r="L72" s="46">
        <v>45064</v>
      </c>
      <c r="M72" s="46">
        <v>45064</v>
      </c>
      <c r="N72" s="48" t="s">
        <v>94</v>
      </c>
      <c r="O72" s="127" t="str">
        <f>IF(Tabla3[[#This Row],[Fecha de Fin ]]&lt;&gt;"","Cerrado","")</f>
        <v>Cerrado</v>
      </c>
      <c r="P72" s="114">
        <f>IFERROR(IF(+NETWORKDAYS(L72,M72,Hoja3!A63:A103)-1&gt;=0,+NETWORKDAYS(L72,M72,Hoja3!A63:A103)-1,""),"")</f>
        <v>0</v>
      </c>
      <c r="Q72" s="165" t="str" cm="1">
        <f t="array" ref="Q72">_xlfn.IFS(Tabla3[[#This Row],[Días CGR]]&lt;=15,"A tiempo",Tabla3[[#This Row],[Días CGR]]="","",Tabla3[[#This Row],[Días CGR]]&gt;15,"En retraso")</f>
        <v>A tiempo</v>
      </c>
      <c r="S72" s="37"/>
    </row>
    <row r="73" spans="2:19" ht="86.4">
      <c r="B73" s="113">
        <f t="shared" si="1"/>
        <v>64</v>
      </c>
      <c r="C73" s="45" t="str">
        <f>IFERROR(VLOOKUP(B73,Tabla1[],2,FALSE),"")</f>
        <v>R42</v>
      </c>
      <c r="D73" s="45" t="str">
        <f>IFERROR(VLOOKUP(B73,Tabla1[],3,FALSE),"")</f>
        <v xml:space="preserve">Reclamación </v>
      </c>
      <c r="E73" s="45" t="str">
        <f>IFERROR(VLOOKUP(B73,Tabla1[],5,FALSE),"")</f>
        <v>T1</v>
      </c>
      <c r="F73" s="45">
        <f>IFERROR(VLOOKUP(B73,Tabla1[],6,FALSE),"")</f>
        <v>2023</v>
      </c>
      <c r="G73" s="45" t="str">
        <f>IFERROR(VLOOKUP(Tabla3[[#This Row],[No.]],Tabla1[],19,FALSE),"")</f>
        <v xml:space="preserve">Externo </v>
      </c>
      <c r="H73" s="45" t="str">
        <f>IFERROR(VLOOKUP(Tabla3[[#This Row],[No.]],Tabla1[],18,FALSE),"")</f>
        <v>Buzón Web</v>
      </c>
      <c r="I73" s="97" t="s">
        <v>505</v>
      </c>
      <c r="J73" s="97" t="s">
        <v>477</v>
      </c>
      <c r="K73" s="181" t="s">
        <v>495</v>
      </c>
      <c r="L73" s="46">
        <v>45062</v>
      </c>
      <c r="M73" s="46">
        <v>45062</v>
      </c>
      <c r="N73" s="48" t="s">
        <v>94</v>
      </c>
      <c r="O73" s="127" t="str">
        <f>IF(Tabla3[[#This Row],[Fecha de Fin ]]&lt;&gt;"","Cerrado","")</f>
        <v>Cerrado</v>
      </c>
      <c r="P73" s="114">
        <f>IFERROR(IF(+NETWORKDAYS(L73,M73,Hoja3!A64:A104)-1&gt;=0,+NETWORKDAYS(L73,M73,Hoja3!A64:A104)-1,""),"")</f>
        <v>0</v>
      </c>
      <c r="Q73" s="165" t="str" cm="1">
        <f t="array" ref="Q73">_xlfn.IFS(Tabla3[[#This Row],[Días CGR]]&lt;=15,"A tiempo",Tabla3[[#This Row],[Días CGR]]="","",Tabla3[[#This Row],[Días CGR]]&gt;15,"En retraso")</f>
        <v>A tiempo</v>
      </c>
      <c r="S73" s="37"/>
    </row>
    <row r="74" spans="2:19" ht="86.4">
      <c r="B74" s="113">
        <f t="shared" si="1"/>
        <v>65</v>
      </c>
      <c r="C74" s="45" t="str">
        <f>IFERROR(VLOOKUP(B74,Tabla1[],2,FALSE),"")</f>
        <v>R43</v>
      </c>
      <c r="D74" s="45" t="str">
        <f>IFERROR(VLOOKUP(B74,Tabla1[],3,FALSE),"")</f>
        <v xml:space="preserve">Reclamación </v>
      </c>
      <c r="E74" s="45" t="str">
        <f>IFERROR(VLOOKUP(B74,Tabla1[],5,FALSE),"")</f>
        <v>T1</v>
      </c>
      <c r="F74" s="45">
        <f>IFERROR(VLOOKUP(B74,Tabla1[],6,FALSE),"")</f>
        <v>2023</v>
      </c>
      <c r="G74" s="45" t="str">
        <f>IFERROR(VLOOKUP(Tabla3[[#This Row],[No.]],Tabla1[],19,FALSE),"")</f>
        <v xml:space="preserve">Externo </v>
      </c>
      <c r="H74" s="45" t="str">
        <f>IFERROR(VLOOKUP(Tabla3[[#This Row],[No.]],Tabla1[],18,FALSE),"")</f>
        <v>Buzón Web</v>
      </c>
      <c r="I74" s="97" t="s">
        <v>505</v>
      </c>
      <c r="J74" s="97" t="s">
        <v>477</v>
      </c>
      <c r="K74" s="181" t="s">
        <v>495</v>
      </c>
      <c r="L74" s="46">
        <v>45062</v>
      </c>
      <c r="M74" s="46">
        <v>45062</v>
      </c>
      <c r="N74" s="48" t="s">
        <v>94</v>
      </c>
      <c r="O74" s="127" t="str">
        <f>IF(Tabla3[[#This Row],[Fecha de Fin ]]&lt;&gt;"","Cerrado","")</f>
        <v>Cerrado</v>
      </c>
      <c r="P74" s="114">
        <f>IFERROR(IF(+NETWORKDAYS(L74,M74,Hoja3!A65:A105)-1&gt;=0,+NETWORKDAYS(L74,M74,Hoja3!A65:A105)-1,""),"")</f>
        <v>0</v>
      </c>
      <c r="Q74" s="165" t="str" cm="1">
        <f t="array" ref="Q74">_xlfn.IFS(Tabla3[[#This Row],[Días CGR]]&lt;=15,"A tiempo",Tabla3[[#This Row],[Días CGR]]="","",Tabla3[[#This Row],[Días CGR]]&gt;15,"En retraso")</f>
        <v>A tiempo</v>
      </c>
      <c r="S74" s="37"/>
    </row>
    <row r="75" spans="2:19" ht="86.4">
      <c r="B75" s="113">
        <f t="shared" ref="B75:B88" si="2">ROW(A75)-ROW($A$9)</f>
        <v>66</v>
      </c>
      <c r="C75" s="45" t="str">
        <f>IFERROR(VLOOKUP(B75,Tabla1[],2,FALSE),"")</f>
        <v>R44</v>
      </c>
      <c r="D75" s="45" t="str">
        <f>IFERROR(VLOOKUP(B75,Tabla1[],3,FALSE),"")</f>
        <v xml:space="preserve">Reclamación </v>
      </c>
      <c r="E75" s="45" t="str">
        <f>IFERROR(VLOOKUP(B75,Tabla1[],5,FALSE),"")</f>
        <v>T1</v>
      </c>
      <c r="F75" s="45">
        <f>IFERROR(VLOOKUP(B75,Tabla1[],6,FALSE),"")</f>
        <v>2023</v>
      </c>
      <c r="G75" s="45" t="str">
        <f>IFERROR(VLOOKUP(Tabla3[[#This Row],[No.]],Tabla1[],19,FALSE),"")</f>
        <v xml:space="preserve">Externo </v>
      </c>
      <c r="H75" s="45" t="str">
        <f>IFERROR(VLOOKUP(Tabla3[[#This Row],[No.]],Tabla1[],18,FALSE),"")</f>
        <v>Buzón Web</v>
      </c>
      <c r="I75" s="97" t="s">
        <v>505</v>
      </c>
      <c r="J75" s="97" t="s">
        <v>477</v>
      </c>
      <c r="K75" s="181" t="s">
        <v>495</v>
      </c>
      <c r="L75" s="46">
        <v>45068</v>
      </c>
      <c r="M75" s="46">
        <v>45068</v>
      </c>
      <c r="N75" s="48" t="s">
        <v>94</v>
      </c>
      <c r="O75" s="127" t="str">
        <f>IF(Tabla3[[#This Row],[Fecha de Fin ]]&lt;&gt;"","Cerrado","")</f>
        <v>Cerrado</v>
      </c>
      <c r="P75" s="114">
        <f>IFERROR(IF(+NETWORKDAYS(L75,M75,Hoja3!A66:A106)-1&gt;=0,+NETWORKDAYS(L75,M75,Hoja3!A66:A106)-1,""),"")</f>
        <v>0</v>
      </c>
      <c r="Q75" s="165" t="str" cm="1">
        <f t="array" ref="Q75">_xlfn.IFS(Tabla3[[#This Row],[Días CGR]]&lt;=15,"A tiempo",Tabla3[[#This Row],[Días CGR]]="","",Tabla3[[#This Row],[Días CGR]]&gt;15,"En retraso")</f>
        <v>A tiempo</v>
      </c>
      <c r="S75" s="37"/>
    </row>
    <row r="76" spans="2:19" ht="90.6" customHeight="1">
      <c r="B76" s="113">
        <f t="shared" si="2"/>
        <v>67</v>
      </c>
      <c r="C76" s="45" t="str">
        <f>IFERROR(VLOOKUP(B76,Tabla1[],2,FALSE),"")</f>
        <v>S04</v>
      </c>
      <c r="D76" s="45" t="str">
        <f>IFERROR(VLOOKUP(B76,Tabla1[],3,FALSE),"")</f>
        <v xml:space="preserve">Sugerencia </v>
      </c>
      <c r="E76" s="45" t="str">
        <f>IFERROR(VLOOKUP(B76,Tabla1[],5,FALSE),"")</f>
        <v>T1</v>
      </c>
      <c r="F76" s="45">
        <f>IFERROR(VLOOKUP(B76,Tabla1[],6,FALSE),"")</f>
        <v>2023</v>
      </c>
      <c r="G76" s="45" t="str">
        <f>IFERROR(VLOOKUP(Tabla3[[#This Row],[No.]],Tabla1[],19,FALSE),"")</f>
        <v xml:space="preserve">Externo </v>
      </c>
      <c r="H76" s="45" t="str">
        <f>IFERROR(VLOOKUP(Tabla3[[#This Row],[No.]],Tabla1[],18,FALSE),"")</f>
        <v>Buzón Web</v>
      </c>
      <c r="I76" s="97" t="s">
        <v>508</v>
      </c>
      <c r="J76" s="97" t="s">
        <v>477</v>
      </c>
      <c r="K76" s="97" t="s">
        <v>495</v>
      </c>
      <c r="L76" s="46">
        <v>45064</v>
      </c>
      <c r="M76" s="46">
        <v>45064</v>
      </c>
      <c r="N76" s="48" t="s">
        <v>94</v>
      </c>
      <c r="O76" s="127" t="str">
        <f>IF(Tabla3[[#This Row],[Fecha de Fin ]]&lt;&gt;"","Cerrado","")</f>
        <v>Cerrado</v>
      </c>
      <c r="P76" s="114">
        <f>IFERROR(IF(+NETWORKDAYS(L76,M76,Hoja3!A67:A107)-1&gt;=0,+NETWORKDAYS(L76,M76,Hoja3!A67:A107)-1,""),"")</f>
        <v>0</v>
      </c>
      <c r="Q76" s="165" t="str" cm="1">
        <f t="array" ref="Q76">_xlfn.IFS(Tabla3[[#This Row],[Días CGR]]&lt;=15,"A tiempo",Tabla3[[#This Row],[Días CGR]]="","",Tabla3[[#This Row],[Días CGR]]&gt;15,"En retraso")</f>
        <v>A tiempo</v>
      </c>
      <c r="S76" s="37"/>
    </row>
    <row r="77" spans="2:19" ht="100.8" customHeight="1">
      <c r="B77" s="113">
        <f t="shared" si="2"/>
        <v>68</v>
      </c>
      <c r="C77" s="45" t="str">
        <f>IFERROR(VLOOKUP(B77,Tabla1[],2,FALSE),"")</f>
        <v>Q17</v>
      </c>
      <c r="D77" s="45" t="str">
        <f>IFERROR(VLOOKUP(B77,Tabla1[],3,FALSE),"")</f>
        <v>Queja</v>
      </c>
      <c r="E77" s="45" t="str">
        <f>IFERROR(VLOOKUP(B77,Tabla1[],5,FALSE),"")</f>
        <v>T1</v>
      </c>
      <c r="F77" s="45">
        <f>IFERROR(VLOOKUP(B77,Tabla1[],6,FALSE),"")</f>
        <v>2023</v>
      </c>
      <c r="G77" s="45" t="str">
        <f>IFERROR(VLOOKUP(Tabla3[[#This Row],[No.]],Tabla1[],19,FALSE),"")</f>
        <v>Interno</v>
      </c>
      <c r="H77" s="45" t="str">
        <f>IFERROR(VLOOKUP(Tabla3[[#This Row],[No.]],Tabla1[],18,FALSE),"")</f>
        <v>Buzón Físico</v>
      </c>
      <c r="I77" s="97" t="s">
        <v>513</v>
      </c>
      <c r="J77" s="97" t="s">
        <v>585</v>
      </c>
      <c r="K77" s="181" t="s">
        <v>586</v>
      </c>
      <c r="L77" s="46">
        <v>45061</v>
      </c>
      <c r="M77" s="46">
        <v>45078</v>
      </c>
      <c r="N77" s="47" t="s">
        <v>584</v>
      </c>
      <c r="O77" s="127" t="str">
        <f>IF(Tabla3[[#This Row],[Fecha de Fin ]]&lt;&gt;"","Cerrado","")</f>
        <v>Cerrado</v>
      </c>
      <c r="P77" s="114">
        <f>IFERROR(IF(+NETWORKDAYS(L77,M77,Hoja3!A68:A108)-1&gt;=0,+NETWORKDAYS(L77,M77,Hoja3!A68:A108)-1,""),"")</f>
        <v>13</v>
      </c>
      <c r="Q77" s="165" t="str" cm="1">
        <f t="array" ref="Q77">_xlfn.IFS(Tabla3[[#This Row],[Días CGR]]&lt;=15,"A tiempo",Tabla3[[#This Row],[Días CGR]]="","",Tabla3[[#This Row],[Días CGR]]&gt;15,"En retraso")</f>
        <v>A tiempo</v>
      </c>
      <c r="S77" s="37"/>
    </row>
    <row r="78" spans="2:19" ht="86.4">
      <c r="B78" s="113">
        <f t="shared" si="2"/>
        <v>69</v>
      </c>
      <c r="C78" s="45" t="str">
        <f>IFERROR(VLOOKUP(B78,Tabla1[],2,FALSE),"")</f>
        <v>R45</v>
      </c>
      <c r="D78" s="45" t="str">
        <f>IFERROR(VLOOKUP(B78,Tabla1[],3,FALSE),"")</f>
        <v xml:space="preserve">Reclamación </v>
      </c>
      <c r="E78" s="45" t="str">
        <f>IFERROR(VLOOKUP(B78,Tabla1[],5,FALSE),"")</f>
        <v>T2</v>
      </c>
      <c r="F78" s="45">
        <f>IFERROR(VLOOKUP(B78,Tabla1[],6,FALSE),"")</f>
        <v>2023</v>
      </c>
      <c r="G78" s="45" t="str">
        <f>IFERROR(VLOOKUP(Tabla3[[#This Row],[No.]],Tabla1[],19,FALSE),"")</f>
        <v xml:space="preserve">Externo </v>
      </c>
      <c r="H78" s="45" t="str">
        <f>IFERROR(VLOOKUP(Tabla3[[#This Row],[No.]],Tabla1[],18,FALSE),"")</f>
        <v>Buzón Web</v>
      </c>
      <c r="I78" s="97" t="s">
        <v>506</v>
      </c>
      <c r="J78" s="97" t="s">
        <v>477</v>
      </c>
      <c r="K78" s="181" t="s">
        <v>507</v>
      </c>
      <c r="L78" s="46">
        <v>45063</v>
      </c>
      <c r="M78" s="46">
        <v>45064</v>
      </c>
      <c r="N78" s="48" t="s">
        <v>94</v>
      </c>
      <c r="O78" s="127" t="str">
        <f>IF(Tabla3[[#This Row],[Fecha de Fin ]]&lt;&gt;"","Cerrado","")</f>
        <v>Cerrado</v>
      </c>
      <c r="P78" s="114">
        <f>IFERROR(IF(+NETWORKDAYS(L78,M78,Hoja3!A69:A109)-1&gt;=0,+NETWORKDAYS(L78,M78,Hoja3!A69:A109)-1,""),"")</f>
        <v>1</v>
      </c>
      <c r="Q78" s="165" t="str" cm="1">
        <f t="array" ref="Q78">_xlfn.IFS(Tabla3[[#This Row],[Días CGR]]&lt;=15,"A tiempo",Tabla3[[#This Row],[Días CGR]]="","",Tabla3[[#This Row],[Días CGR]]&gt;15,"En retraso")</f>
        <v>A tiempo</v>
      </c>
      <c r="S78" s="37"/>
    </row>
    <row r="79" spans="2:19" ht="105" customHeight="1">
      <c r="B79" s="113">
        <f t="shared" si="2"/>
        <v>70</v>
      </c>
      <c r="C79" s="45" t="str">
        <f>IFERROR(VLOOKUP(B79,Tabla1[],2,FALSE),"")</f>
        <v>R46</v>
      </c>
      <c r="D79" s="45" t="str">
        <f>IFERROR(VLOOKUP(B79,Tabla1[],3,FALSE),"")</f>
        <v xml:space="preserve">Reclamación </v>
      </c>
      <c r="E79" s="45" t="str">
        <f>IFERROR(VLOOKUP(B79,Tabla1[],5,FALSE),"")</f>
        <v>T2</v>
      </c>
      <c r="F79" s="45">
        <f>IFERROR(VLOOKUP(B79,Tabla1[],6,FALSE),"")</f>
        <v>2023</v>
      </c>
      <c r="G79" s="45" t="str">
        <f>IFERROR(VLOOKUP(Tabla3[[#This Row],[No.]],Tabla1[],19,FALSE),"")</f>
        <v xml:space="preserve">Externo </v>
      </c>
      <c r="H79" s="45" t="str">
        <f>IFERROR(VLOOKUP(Tabla3[[#This Row],[No.]],Tabla1[],18,FALSE),"")</f>
        <v>Buzón Web</v>
      </c>
      <c r="I79" s="97" t="s">
        <v>509</v>
      </c>
      <c r="J79" s="97" t="s">
        <v>477</v>
      </c>
      <c r="K79" s="181" t="s">
        <v>510</v>
      </c>
      <c r="L79" s="46">
        <v>45063</v>
      </c>
      <c r="M79" s="46">
        <v>45065</v>
      </c>
      <c r="N79" s="48" t="s">
        <v>94</v>
      </c>
      <c r="O79" s="127" t="str">
        <f>IF(Tabla3[[#This Row],[Fecha de Fin ]]&lt;&gt;"","Cerrado","")</f>
        <v>Cerrado</v>
      </c>
      <c r="P79" s="114">
        <f>IFERROR(IF(+NETWORKDAYS(L79,M79,Hoja3!A70:A110)-1&gt;=0,+NETWORKDAYS(L79,M79,Hoja3!A70:A110)-1,""),"")</f>
        <v>2</v>
      </c>
      <c r="Q79" s="165" t="str" cm="1">
        <f t="array" ref="Q79">_xlfn.IFS(Tabla3[[#This Row],[Días CGR]]&lt;=15,"A tiempo",Tabla3[[#This Row],[Días CGR]]="","",Tabla3[[#This Row],[Días CGR]]&gt;15,"En retraso")</f>
        <v>A tiempo</v>
      </c>
      <c r="S79" s="37"/>
    </row>
    <row r="80" spans="2:19" ht="105" customHeight="1">
      <c r="B80" s="113">
        <f>ROW(A80)-ROW($A$9)</f>
        <v>71</v>
      </c>
      <c r="C80" s="41" t="str">
        <f>IFERROR(VLOOKUP(B80,Tabla1[],2,FALSE),"")</f>
        <v>311-6</v>
      </c>
      <c r="D80" s="45" t="str">
        <f>IFERROR(VLOOKUP(B80,Tabla1[],3,FALSE),"")</f>
        <v xml:space="preserve">Sugerencia </v>
      </c>
      <c r="E80" s="45" t="str">
        <f>IFERROR(VLOOKUP(B80,Tabla1[],5,FALSE),"")</f>
        <v>T2</v>
      </c>
      <c r="F80" s="45">
        <f>IFERROR(VLOOKUP(B80,Tabla1[],6,FALSE),"")</f>
        <v>2023</v>
      </c>
      <c r="G80" s="45" t="str">
        <f>IFERROR(VLOOKUP(Tabla3[[#This Row],[No.]],Tabla1[],19,FALSE),"")</f>
        <v xml:space="preserve">Externo </v>
      </c>
      <c r="H80" s="45" t="str">
        <f>IFERROR(VLOOKUP(Tabla3[[#This Row],[No.]],Tabla1[],18,FALSE),"")</f>
        <v>Línea 311</v>
      </c>
      <c r="I80" s="97" t="s">
        <v>573</v>
      </c>
      <c r="J80" s="97" t="s">
        <v>575</v>
      </c>
      <c r="K80" s="97" t="s">
        <v>83</v>
      </c>
      <c r="L80" s="46">
        <v>45033</v>
      </c>
      <c r="M80" s="46">
        <v>45033</v>
      </c>
      <c r="N80" s="48" t="s">
        <v>88</v>
      </c>
      <c r="O80" s="127" t="str">
        <f>IF(Tabla3[[#This Row],[Fecha de Fin ]]&lt;&gt;"","Cerrado","")</f>
        <v>Cerrado</v>
      </c>
      <c r="P80" s="114">
        <f>IFERROR(IF(+NETWORKDAYS(L80,M80,Hoja3!A71:A111)-1&gt;=0,+NETWORKDAYS(L80,M80,Hoja3!A71:A111)-1,""),"")</f>
        <v>0</v>
      </c>
      <c r="Q80" s="165" t="str" cm="1">
        <f t="array" ref="Q80">_xlfn.IFS(Tabla3[[#This Row],[Días CGR]]&lt;=15,"A tiempo",Tabla3[[#This Row],[Días CGR]]="","",Tabla3[[#This Row],[Días CGR]]&gt;15,"En retraso")</f>
        <v>A tiempo</v>
      </c>
      <c r="S80" s="37"/>
    </row>
    <row r="81" spans="2:19" ht="105" customHeight="1">
      <c r="B81" s="113">
        <f>ROW(A81)-ROW($A$9)</f>
        <v>72</v>
      </c>
      <c r="C81" s="41" t="str">
        <f>IFERROR(VLOOKUP(B81,Tabla1[],2,FALSE),"")</f>
        <v>311-7</v>
      </c>
      <c r="D81" s="45" t="str">
        <f>IFERROR(VLOOKUP(B81,Tabla1[],3,FALSE),"")</f>
        <v xml:space="preserve">Sugerencia </v>
      </c>
      <c r="E81" s="45" t="str">
        <f>IFERROR(VLOOKUP(B81,Tabla1[],5,FALSE),"")</f>
        <v>T2</v>
      </c>
      <c r="F81" s="45">
        <f>IFERROR(VLOOKUP(B81,Tabla1[],6,FALSE),"")</f>
        <v>2023</v>
      </c>
      <c r="G81" s="45" t="str">
        <f>IFERROR(VLOOKUP(Tabla3[[#This Row],[No.]],Tabla1[],19,FALSE),"")</f>
        <v xml:space="preserve">Externo </v>
      </c>
      <c r="H81" s="45" t="str">
        <f>IFERROR(VLOOKUP(Tabla3[[#This Row],[No.]],Tabla1[],18,FALSE),"")</f>
        <v>Línea 311</v>
      </c>
      <c r="I81" s="97" t="s">
        <v>573</v>
      </c>
      <c r="J81" s="97" t="s">
        <v>574</v>
      </c>
      <c r="K81" s="97" t="s">
        <v>83</v>
      </c>
      <c r="L81" s="46">
        <v>45041</v>
      </c>
      <c r="M81" s="46">
        <v>45041</v>
      </c>
      <c r="N81" s="48" t="s">
        <v>88</v>
      </c>
      <c r="O81" s="127" t="str">
        <f>IF(Tabla3[[#This Row],[Fecha de Fin ]]&lt;&gt;"","Cerrado","")</f>
        <v>Cerrado</v>
      </c>
      <c r="P81" s="114">
        <f>IFERROR(IF(+NETWORKDAYS(L81,M81,Hoja3!A72:A112)-1&gt;=0,+NETWORKDAYS(L81,M81,Hoja3!A72:A112)-1,""),"")</f>
        <v>0</v>
      </c>
      <c r="Q81" s="165" t="str" cm="1">
        <f t="array" ref="Q81">_xlfn.IFS(Tabla3[[#This Row],[Días CGR]]&lt;=15,"A tiempo",Tabla3[[#This Row],[Días CGR]]="","",Tabla3[[#This Row],[Días CGR]]&gt;15,"En retraso")</f>
        <v>A tiempo</v>
      </c>
      <c r="S81" s="37"/>
    </row>
    <row r="82" spans="2:19" ht="115.2">
      <c r="B82" s="113">
        <f t="shared" si="2"/>
        <v>73</v>
      </c>
      <c r="C82" s="45" t="str">
        <f>IFERROR(VLOOKUP(B82,Tabla1[],2,FALSE),"")</f>
        <v>Q18</v>
      </c>
      <c r="D82" s="45" t="str">
        <f>IFERROR(VLOOKUP(B82,Tabla1[],3,FALSE),"")</f>
        <v>Queja</v>
      </c>
      <c r="E82" s="45" t="str">
        <f>IFERROR(VLOOKUP(B82,Tabla1[],5,FALSE),"")</f>
        <v>T2</v>
      </c>
      <c r="F82" s="45">
        <f>IFERROR(VLOOKUP(B82,Tabla1[],6,FALSE),"")</f>
        <v>2023</v>
      </c>
      <c r="G82" s="45" t="str">
        <f>IFERROR(VLOOKUP(Tabla3[[#This Row],[No.]],Tabla1[],19,FALSE),"")</f>
        <v>Interno</v>
      </c>
      <c r="H82" s="45" t="str">
        <f>IFERROR(VLOOKUP(Tabla3[[#This Row],[No.]],Tabla1[],18,FALSE),"")</f>
        <v>Buzón Físico</v>
      </c>
      <c r="I82" s="97" t="s">
        <v>515</v>
      </c>
      <c r="J82" s="97" t="s">
        <v>582</v>
      </c>
      <c r="K82" s="181" t="s">
        <v>581</v>
      </c>
      <c r="L82" s="46">
        <v>45061</v>
      </c>
      <c r="M82" s="46">
        <v>45078</v>
      </c>
      <c r="N82" s="47" t="s">
        <v>583</v>
      </c>
      <c r="O82" s="127" t="str">
        <f>IF(Tabla3[[#This Row],[Fecha de Fin ]]&lt;&gt;"","Cerrado","")</f>
        <v>Cerrado</v>
      </c>
      <c r="P82" s="114">
        <f>IFERROR(IF(+NETWORKDAYS(L82,M82,Hoja3!A73:A113)-1&gt;=0,+NETWORKDAYS(L82,M82,Hoja3!A73:A113)-1,""),"")</f>
        <v>13</v>
      </c>
      <c r="Q82" s="165" t="str" cm="1">
        <f t="array" ref="Q82">_xlfn.IFS(Tabla3[[#This Row],[Días CGR]]&lt;=15,"A tiempo",Tabla3[[#This Row],[Días CGR]]="","",Tabla3[[#This Row],[Días CGR]]&gt;15,"En retraso")</f>
        <v>A tiempo</v>
      </c>
      <c r="S82" s="37"/>
    </row>
    <row r="83" spans="2:19" ht="86.4">
      <c r="B83" s="113">
        <f t="shared" si="2"/>
        <v>74</v>
      </c>
      <c r="C83" s="45" t="str">
        <f>IFERROR(VLOOKUP(B83,Tabla1[],2,FALSE),"")</f>
        <v>R47</v>
      </c>
      <c r="D83" s="45" t="str">
        <f>IFERROR(VLOOKUP(B83,Tabla1[],3,FALSE),"")</f>
        <v xml:space="preserve">Reclamación </v>
      </c>
      <c r="E83" s="45" t="str">
        <f>IFERROR(VLOOKUP(B83,Tabla1[],5,FALSE),"")</f>
        <v>T2</v>
      </c>
      <c r="F83" s="45">
        <f>IFERROR(VLOOKUP(B83,Tabla1[],6,FALSE),"")</f>
        <v>2023</v>
      </c>
      <c r="G83" s="45" t="str">
        <f>IFERROR(VLOOKUP(Tabla3[[#This Row],[No.]],Tabla1[],19,FALSE),"")</f>
        <v xml:space="preserve">Externo </v>
      </c>
      <c r="H83" s="45" t="str">
        <f>IFERROR(VLOOKUP(Tabla3[[#This Row],[No.]],Tabla1[],18,FALSE),"")</f>
        <v>Buzón Web</v>
      </c>
      <c r="I83" s="97" t="s">
        <v>505</v>
      </c>
      <c r="J83" s="97" t="s">
        <v>477</v>
      </c>
      <c r="K83" s="181" t="s">
        <v>495</v>
      </c>
      <c r="L83" s="46">
        <v>45062</v>
      </c>
      <c r="M83" s="46">
        <v>45062</v>
      </c>
      <c r="N83" s="48" t="s">
        <v>94</v>
      </c>
      <c r="O83" s="127" t="str">
        <f>IF(Tabla3[[#This Row],[Fecha de Fin ]]&lt;&gt;"","Cerrado","")</f>
        <v>Cerrado</v>
      </c>
      <c r="P83" s="114">
        <f>IFERROR(IF(+NETWORKDAYS(L83,M83,Hoja3!A74:A114)-1&gt;=0,+NETWORKDAYS(L83,M83,Hoja3!A74:A114)-1,""),"")</f>
        <v>0</v>
      </c>
      <c r="Q83" s="165" t="str" cm="1">
        <f t="array" ref="Q83">_xlfn.IFS(Tabla3[[#This Row],[Días CGR]]&lt;=15,"A tiempo",Tabla3[[#This Row],[Días CGR]]="","",Tabla3[[#This Row],[Días CGR]]&gt;15,"En retraso")</f>
        <v>A tiempo</v>
      </c>
      <c r="S83" s="37"/>
    </row>
    <row r="84" spans="2:19" ht="86.4">
      <c r="B84" s="113">
        <f t="shared" si="2"/>
        <v>75</v>
      </c>
      <c r="C84" s="45" t="str">
        <f>IFERROR(VLOOKUP(B84,Tabla1[],2,FALSE),"")</f>
        <v>R48</v>
      </c>
      <c r="D84" s="45" t="str">
        <f>IFERROR(VLOOKUP(B84,Tabla1[],3,FALSE),"")</f>
        <v xml:space="preserve">Reclamación </v>
      </c>
      <c r="E84" s="45" t="str">
        <f>IFERROR(VLOOKUP(B84,Tabla1[],5,FALSE),"")</f>
        <v>T2</v>
      </c>
      <c r="F84" s="45">
        <f>IFERROR(VLOOKUP(B84,Tabla1[],6,FALSE),"")</f>
        <v>2023</v>
      </c>
      <c r="G84" s="45" t="str">
        <f>IFERROR(VLOOKUP(Tabla3[[#This Row],[No.]],Tabla1[],19,FALSE),"")</f>
        <v xml:space="preserve">Externo </v>
      </c>
      <c r="H84" s="45" t="str">
        <f>IFERROR(VLOOKUP(Tabla3[[#This Row],[No.]],Tabla1[],18,FALSE),"")</f>
        <v>Buzón Web</v>
      </c>
      <c r="I84" s="97" t="s">
        <v>509</v>
      </c>
      <c r="J84" s="97" t="s">
        <v>477</v>
      </c>
      <c r="K84" s="181" t="s">
        <v>511</v>
      </c>
      <c r="L84" s="46">
        <v>45063</v>
      </c>
      <c r="M84" s="46">
        <v>45068</v>
      </c>
      <c r="N84" s="48" t="s">
        <v>94</v>
      </c>
      <c r="O84" s="127" t="str">
        <f>IF(Tabla3[[#This Row],[Fecha de Fin ]]&lt;&gt;"","Cerrado","")</f>
        <v>Cerrado</v>
      </c>
      <c r="P84" s="114">
        <f>IFERROR(IF(+NETWORKDAYS(L84,M84,Hoja3!A75:A115)-1&gt;=0,+NETWORKDAYS(L84,M84,Hoja3!A75:A115)-1,""),"")</f>
        <v>3</v>
      </c>
      <c r="Q84" s="165" t="str" cm="1">
        <f t="array" ref="Q84">_xlfn.IFS(Tabla3[[#This Row],[Días CGR]]&lt;=15,"A tiempo",Tabla3[[#This Row],[Días CGR]]="","",Tabla3[[#This Row],[Días CGR]]&gt;15,"En retraso")</f>
        <v>A tiempo</v>
      </c>
      <c r="S84" s="37"/>
    </row>
    <row r="85" spans="2:19" ht="86.4">
      <c r="B85" s="113">
        <f t="shared" si="2"/>
        <v>76</v>
      </c>
      <c r="C85" s="45" t="str">
        <f>IFERROR(VLOOKUP(B85,Tabla1[],2,FALSE),"")</f>
        <v>R49</v>
      </c>
      <c r="D85" s="45" t="str">
        <f>IFERROR(VLOOKUP(B85,Tabla1[],3,FALSE),"")</f>
        <v xml:space="preserve">Reclamación </v>
      </c>
      <c r="E85" s="45" t="str">
        <f>IFERROR(VLOOKUP(B85,Tabla1[],5,FALSE),"")</f>
        <v>T2</v>
      </c>
      <c r="F85" s="45">
        <f>IFERROR(VLOOKUP(B85,Tabla1[],6,FALSE),"")</f>
        <v>2023</v>
      </c>
      <c r="G85" s="45" t="str">
        <f>IFERROR(VLOOKUP(Tabla3[[#This Row],[No.]],Tabla1[],19,FALSE),"")</f>
        <v xml:space="preserve">Externo </v>
      </c>
      <c r="H85" s="45" t="str">
        <f>IFERROR(VLOOKUP(Tabla3[[#This Row],[No.]],Tabla1[],18,FALSE),"")</f>
        <v>Buzón Web</v>
      </c>
      <c r="I85" s="97" t="s">
        <v>509</v>
      </c>
      <c r="J85" s="97" t="s">
        <v>477</v>
      </c>
      <c r="K85" s="181" t="s">
        <v>511</v>
      </c>
      <c r="L85" s="46">
        <v>45063</v>
      </c>
      <c r="M85" s="46">
        <v>45068</v>
      </c>
      <c r="N85" s="48" t="s">
        <v>94</v>
      </c>
      <c r="O85" s="127" t="str">
        <f>IF(Tabla3[[#This Row],[Fecha de Fin ]]&lt;&gt;"","Cerrado","")</f>
        <v>Cerrado</v>
      </c>
      <c r="P85" s="114">
        <f>IFERROR(IF(+NETWORKDAYS(L85,M85,Hoja3!A76:A116)-1&gt;=0,+NETWORKDAYS(L85,M85,Hoja3!A76:A116)-1,""),"")</f>
        <v>3</v>
      </c>
      <c r="Q85" s="165" t="str" cm="1">
        <f t="array" ref="Q85">_xlfn.IFS(Tabla3[[#This Row],[Días CGR]]&lt;=15,"A tiempo",Tabla3[[#This Row],[Días CGR]]="","",Tabla3[[#This Row],[Días CGR]]&gt;15,"En retraso")</f>
        <v>A tiempo</v>
      </c>
      <c r="S85" s="37"/>
    </row>
    <row r="86" spans="2:19" ht="115.2">
      <c r="B86" s="113">
        <f t="shared" si="2"/>
        <v>77</v>
      </c>
      <c r="C86" s="45" t="str">
        <f>IFERROR(VLOOKUP(B86,Tabla1[],2,FALSE),"")</f>
        <v>Q19</v>
      </c>
      <c r="D86" s="45" t="str">
        <f>IFERROR(VLOOKUP(B86,Tabla1[],3,FALSE),"")</f>
        <v>Queja</v>
      </c>
      <c r="E86" s="45" t="str">
        <f>IFERROR(VLOOKUP(B86,Tabla1[],5,FALSE),"")</f>
        <v>T2</v>
      </c>
      <c r="F86" s="45">
        <f>IFERROR(VLOOKUP(B86,Tabla1[],6,FALSE),"")</f>
        <v>2023</v>
      </c>
      <c r="G86" s="45" t="str">
        <f>IFERROR(VLOOKUP(Tabla3[[#This Row],[No.]],Tabla1[],19,FALSE),"")</f>
        <v>Interno</v>
      </c>
      <c r="H86" s="45" t="str">
        <f>IFERROR(VLOOKUP(Tabla3[[#This Row],[No.]],Tabla1[],18,FALSE),"")</f>
        <v>Buzón Físico</v>
      </c>
      <c r="I86" s="97" t="s">
        <v>514</v>
      </c>
      <c r="J86" s="97" t="s">
        <v>587</v>
      </c>
      <c r="K86" s="97" t="s">
        <v>613</v>
      </c>
      <c r="L86" s="46">
        <v>45069</v>
      </c>
      <c r="M86" s="46">
        <v>45089</v>
      </c>
      <c r="N86" s="48" t="s">
        <v>78</v>
      </c>
      <c r="O86" s="127" t="str">
        <f>IF(Tabla3[[#This Row],[Fecha de Fin ]]&lt;&gt;"","Cerrado","")</f>
        <v>Cerrado</v>
      </c>
      <c r="P86" s="114">
        <f>IFERROR(IF(+NETWORKDAYS(L86,M86,Hoja3!A77:A117)-1&gt;=0,+NETWORKDAYS(L86,M86,Hoja3!A77:A117)-1,""),"")</f>
        <v>14</v>
      </c>
      <c r="Q86" s="165" t="str" cm="1">
        <f t="array" ref="Q86">_xlfn.IFS(Tabla3[[#This Row],[Días CGR]]&lt;=15,"A tiempo",Tabla3[[#This Row],[Días CGR]]="","",Tabla3[[#This Row],[Días CGR]]&gt;15,"En retraso")</f>
        <v>A tiempo</v>
      </c>
      <c r="S86" s="37"/>
    </row>
    <row r="87" spans="2:19" ht="58.2" customHeight="1">
      <c r="B87" s="113">
        <f t="shared" si="2"/>
        <v>78</v>
      </c>
      <c r="C87" s="45" t="str">
        <f>IFERROR(VLOOKUP(B87,Tabla1[],2,FALSE),"")</f>
        <v>R50</v>
      </c>
      <c r="D87" s="45" t="str">
        <f>IFERROR(VLOOKUP(B87,Tabla1[],3,FALSE),"")</f>
        <v xml:space="preserve">Reclamación </v>
      </c>
      <c r="E87" s="45" t="str">
        <f>IFERROR(VLOOKUP(B87,Tabla1[],5,FALSE),"")</f>
        <v>T2</v>
      </c>
      <c r="F87" s="45">
        <f>IFERROR(VLOOKUP(B87,Tabla1[],6,FALSE),"")</f>
        <v>2023</v>
      </c>
      <c r="G87" s="45" t="str">
        <f>IFERROR(VLOOKUP(Tabla3[[#This Row],[No.]],Tabla1[],19,FALSE),"")</f>
        <v xml:space="preserve">Externo </v>
      </c>
      <c r="H87" s="45" t="str">
        <f>IFERROR(VLOOKUP(Tabla3[[#This Row],[No.]],Tabla1[],18,FALSE),"")</f>
        <v>Correo Electrónico</v>
      </c>
      <c r="I87" s="97" t="s">
        <v>516</v>
      </c>
      <c r="J87" s="97" t="s">
        <v>517</v>
      </c>
      <c r="K87" s="181" t="s">
        <v>518</v>
      </c>
      <c r="L87" s="46">
        <v>45068</v>
      </c>
      <c r="M87" s="46">
        <v>45070</v>
      </c>
      <c r="N87" s="48" t="s">
        <v>473</v>
      </c>
      <c r="O87" s="127" t="str">
        <f>IF(Tabla3[[#This Row],[Fecha de Fin ]]&lt;&gt;"","Cerrado","")</f>
        <v>Cerrado</v>
      </c>
      <c r="P87" s="114">
        <f>IFERROR(IF(+NETWORKDAYS(L87,M87,Hoja3!A78:A118)-1&gt;=0,+NETWORKDAYS(L87,M87,Hoja3!A78:A118)-1,""),"")</f>
        <v>2</v>
      </c>
      <c r="Q87" s="165" t="str" cm="1">
        <f t="array" ref="Q87">_xlfn.IFS(Tabla3[[#This Row],[Días CGR]]&lt;=15,"A tiempo",Tabla3[[#This Row],[Días CGR]]="","",Tabla3[[#This Row],[Días CGR]]&gt;15,"En retraso")</f>
        <v>A tiempo</v>
      </c>
      <c r="S87" s="37"/>
    </row>
    <row r="88" spans="2:19" ht="86.4">
      <c r="B88" s="113">
        <f t="shared" si="2"/>
        <v>79</v>
      </c>
      <c r="C88" s="45" t="str">
        <f>IFERROR(VLOOKUP(B88,Tabla1[],2,FALSE),"")</f>
        <v>R51</v>
      </c>
      <c r="D88" s="45" t="str">
        <f>IFERROR(VLOOKUP(B88,Tabla1[],3,FALSE),"")</f>
        <v xml:space="preserve">Reclamación </v>
      </c>
      <c r="E88" s="45" t="str">
        <f>IFERROR(VLOOKUP(B88,Tabla1[],5,FALSE),"")</f>
        <v>T2</v>
      </c>
      <c r="F88" s="45">
        <f>IFERROR(VLOOKUP(B88,Tabla1[],6,FALSE),"")</f>
        <v>2023</v>
      </c>
      <c r="G88" s="45" t="str">
        <f>IFERROR(VLOOKUP(Tabla3[[#This Row],[No.]],Tabla1[],19,FALSE),"")</f>
        <v xml:space="preserve">Externo </v>
      </c>
      <c r="H88" s="45" t="str">
        <f>IFERROR(VLOOKUP(Tabla3[[#This Row],[No.]],Tabla1[],18,FALSE),"")</f>
        <v>Buzón Web</v>
      </c>
      <c r="I88" s="97" t="s">
        <v>505</v>
      </c>
      <c r="J88" s="97" t="s">
        <v>477</v>
      </c>
      <c r="K88" s="181" t="s">
        <v>495</v>
      </c>
      <c r="L88" s="46">
        <v>45082</v>
      </c>
      <c r="M88" s="46">
        <v>45082</v>
      </c>
      <c r="N88" s="48" t="s">
        <v>94</v>
      </c>
      <c r="O88" s="127" t="str">
        <f>IF(Tabla3[[#This Row],[Fecha de Fin ]]&lt;&gt;"","Cerrado","")</f>
        <v>Cerrado</v>
      </c>
      <c r="P88" s="114">
        <f>IFERROR(IF(+NETWORKDAYS(L88,M88,Hoja3!A79:A119)-1&gt;=0,+NETWORKDAYS(L88,M88,Hoja3!A79:A119)-1,""),"")</f>
        <v>0</v>
      </c>
      <c r="Q88" s="165" t="str" cm="1">
        <f t="array" ref="Q88">_xlfn.IFS(Tabla3[[#This Row],[Días CGR]]&lt;=15,"A tiempo",Tabla3[[#This Row],[Días CGR]]="","",Tabla3[[#This Row],[Días CGR]]&gt;15,"En retraso")</f>
        <v>A tiempo</v>
      </c>
      <c r="S88" s="37"/>
    </row>
    <row r="89" spans="2:19" ht="72">
      <c r="B89" s="113">
        <f t="shared" ref="B89:B105" si="3">ROW(A89)-ROW($A$9)</f>
        <v>80</v>
      </c>
      <c r="C89" s="45" t="str">
        <f>IFERROR(VLOOKUP(B89,Tabla1[],2,FALSE),"")</f>
        <v>R52</v>
      </c>
      <c r="D89" s="45" t="str">
        <f>IFERROR(VLOOKUP(B89,Tabla1[],3,FALSE),"")</f>
        <v xml:space="preserve">Reclamación </v>
      </c>
      <c r="E89" s="45" t="str">
        <f>IFERROR(VLOOKUP(B89,Tabla1[],5,FALSE),"")</f>
        <v>T3</v>
      </c>
      <c r="F89" s="45">
        <f>IFERROR(VLOOKUP(B89,Tabla1[],6,FALSE),"")</f>
        <v>2023</v>
      </c>
      <c r="G89" s="45" t="str">
        <f>IFERROR(VLOOKUP(Tabla3[[#This Row],[No.]],Tabla1[],19,FALSE),"")</f>
        <v>Externo</v>
      </c>
      <c r="H89" s="45" t="str">
        <f>IFERROR(VLOOKUP(Tabla3[[#This Row],[No.]],Tabla1[],18,FALSE),"")</f>
        <v>Buzón Web</v>
      </c>
      <c r="I89" s="97" t="s">
        <v>509</v>
      </c>
      <c r="J89" s="97" t="s">
        <v>521</v>
      </c>
      <c r="K89" s="181" t="s">
        <v>510</v>
      </c>
      <c r="L89" s="46">
        <v>45110</v>
      </c>
      <c r="M89" s="46">
        <v>45117</v>
      </c>
      <c r="N89" s="48" t="s">
        <v>94</v>
      </c>
      <c r="O89" s="127" t="str">
        <f>IF(Tabla3[[#This Row],[Fecha de Fin ]]&lt;&gt;"","Cerrado","")</f>
        <v>Cerrado</v>
      </c>
      <c r="P89" s="114">
        <f>IFERROR(IF(+NETWORKDAYS(L89,M89,Hoja3!A80:A120)-1&gt;=0,+NETWORKDAYS(L89,M89,Hoja3!A80:A120)-1,""),"")</f>
        <v>5</v>
      </c>
      <c r="Q89" s="176" t="str" cm="1">
        <f t="array" ref="Q89">_xlfn.IFS(Tabla3[[#This Row],[Días CGR]]&lt;=15,"A tiempo",Tabla3[[#This Row],[Días CGR]]="","",Tabla3[[#This Row],[Días CGR]]&gt;15,"En retraso")</f>
        <v>A tiempo</v>
      </c>
      <c r="S89" s="37"/>
    </row>
    <row r="90" spans="2:19" ht="43.2">
      <c r="B90" s="113">
        <f t="shared" si="3"/>
        <v>81</v>
      </c>
      <c r="C90" s="45" t="str">
        <f>IFERROR(VLOOKUP(B90,Tabla1[],2,FALSE),"")</f>
        <v>Q20</v>
      </c>
      <c r="D90" s="45" t="str">
        <f>IFERROR(VLOOKUP(B90,Tabla1[],3,FALSE),"")</f>
        <v>Queja</v>
      </c>
      <c r="E90" s="45" t="str">
        <f>IFERROR(VLOOKUP(B90,Tabla1[],5,FALSE),"")</f>
        <v>T3</v>
      </c>
      <c r="F90" s="45">
        <f>IFERROR(VLOOKUP(B90,Tabla1[],6,FALSE),"")</f>
        <v>2023</v>
      </c>
      <c r="G90" s="45" t="str">
        <f>IFERROR(VLOOKUP(Tabla3[[#This Row],[No.]],Tabla1[],19,FALSE),"")</f>
        <v>Interno</v>
      </c>
      <c r="H90" s="45" t="str">
        <f>IFERROR(VLOOKUP(Tabla3[[#This Row],[No.]],Tabla1[],18,FALSE),"")</f>
        <v>Buzón Físico</v>
      </c>
      <c r="I90" s="97" t="s">
        <v>610</v>
      </c>
      <c r="J90" s="97" t="s">
        <v>611</v>
      </c>
      <c r="K90" s="181" t="s">
        <v>612</v>
      </c>
      <c r="L90" s="46">
        <v>45110</v>
      </c>
      <c r="M90" s="46">
        <v>45131</v>
      </c>
      <c r="N90" s="47" t="s">
        <v>583</v>
      </c>
      <c r="O90" s="127" t="str">
        <f>IF(Tabla3[[#This Row],[Fecha de Fin ]]&lt;&gt;"","Cerrado","")</f>
        <v>Cerrado</v>
      </c>
      <c r="P90" s="114">
        <f>IFERROR(IF(+NETWORKDAYS(L90,M90,Hoja3!A81:A121)-1&gt;=0,+NETWORKDAYS(L90,M90,Hoja3!A81:A121)-1,""),"")</f>
        <v>15</v>
      </c>
      <c r="Q90" s="176" t="str" cm="1">
        <f t="array" ref="Q90">_xlfn.IFS(Tabla3[[#This Row],[Días CGR]]&lt;=15,"A tiempo",Tabla3[[#This Row],[Días CGR]]="","",Tabla3[[#This Row],[Días CGR]]&gt;15,"En retraso")</f>
        <v>A tiempo</v>
      </c>
      <c r="R90"/>
      <c r="S90" s="37"/>
    </row>
    <row r="91" spans="2:19" ht="72">
      <c r="B91" s="113">
        <f t="shared" si="3"/>
        <v>82</v>
      </c>
      <c r="C91" s="45" t="str">
        <f>IFERROR(VLOOKUP(B91,Tabla1[],2,FALSE),"")</f>
        <v>R53</v>
      </c>
      <c r="D91" s="45" t="str">
        <f>IFERROR(VLOOKUP(B91,Tabla1[],3,FALSE),"")</f>
        <v xml:space="preserve">Reclamación </v>
      </c>
      <c r="E91" s="45" t="str">
        <f>IFERROR(VLOOKUP(B91,Tabla1[],5,FALSE),"")</f>
        <v>T3</v>
      </c>
      <c r="F91" s="45">
        <f>IFERROR(VLOOKUP(B91,Tabla1[],6,FALSE),"")</f>
        <v>2023</v>
      </c>
      <c r="G91" s="45" t="str">
        <f>IFERROR(VLOOKUP(Tabla3[[#This Row],[No.]],Tabla1[],19,FALSE),"")</f>
        <v>Externo</v>
      </c>
      <c r="H91" s="45" t="str">
        <f>IFERROR(VLOOKUP(Tabla3[[#This Row],[No.]],Tabla1[],18,FALSE),"")</f>
        <v>Buzón Web</v>
      </c>
      <c r="I91" s="97" t="s">
        <v>509</v>
      </c>
      <c r="J91" s="97" t="s">
        <v>521</v>
      </c>
      <c r="K91" s="181" t="s">
        <v>609</v>
      </c>
      <c r="L91" s="46">
        <v>45111</v>
      </c>
      <c r="M91" s="46">
        <v>45114</v>
      </c>
      <c r="N91" s="48" t="s">
        <v>94</v>
      </c>
      <c r="O91" s="127" t="str">
        <f>IF(Tabla3[[#This Row],[Fecha de Fin ]]&lt;&gt;"","Cerrado","")</f>
        <v>Cerrado</v>
      </c>
      <c r="P91" s="114">
        <f>IFERROR(IF(+NETWORKDAYS(L91,M91,Hoja3!A82:A122)-1&gt;=0,+NETWORKDAYS(L91,M91,Hoja3!A82:A122)-1,""),"")</f>
        <v>3</v>
      </c>
      <c r="Q91" s="176" t="str" cm="1">
        <f t="array" ref="Q91">_xlfn.IFS(Tabla3[[#This Row],[Días CGR]]&lt;=15,"A tiempo",Tabla3[[#This Row],[Días CGR]]="","",Tabla3[[#This Row],[Días CGR]]&gt;15,"En retraso")</f>
        <v>A tiempo</v>
      </c>
      <c r="R91"/>
      <c r="S91" s="37"/>
    </row>
    <row r="92" spans="2:19" ht="72">
      <c r="B92" s="113">
        <f t="shared" si="3"/>
        <v>83</v>
      </c>
      <c r="C92" s="45" t="str">
        <f>IFERROR(VLOOKUP(B92,Tabla1[],2,FALSE),"")</f>
        <v>R54</v>
      </c>
      <c r="D92" s="45" t="str">
        <f>IFERROR(VLOOKUP(B92,Tabla1[],3,FALSE),"")</f>
        <v xml:space="preserve">Reclamación </v>
      </c>
      <c r="E92" s="45" t="str">
        <f>IFERROR(VLOOKUP(B92,Tabla1[],5,FALSE),"")</f>
        <v>T3</v>
      </c>
      <c r="F92" s="45">
        <f>IFERROR(VLOOKUP(B92,Tabla1[],6,FALSE),"")</f>
        <v>2023</v>
      </c>
      <c r="G92" s="45" t="str">
        <f>IFERROR(VLOOKUP(Tabla3[[#This Row],[No.]],Tabla1[],19,FALSE),"")</f>
        <v>Externo</v>
      </c>
      <c r="H92" s="45" t="str">
        <f>IFERROR(VLOOKUP(Tabla3[[#This Row],[No.]],Tabla1[],18,FALSE),"")</f>
        <v>Buzón Web</v>
      </c>
      <c r="I92" s="97" t="s">
        <v>509</v>
      </c>
      <c r="J92" s="97" t="s">
        <v>521</v>
      </c>
      <c r="K92" s="181" t="s">
        <v>608</v>
      </c>
      <c r="L92" s="46">
        <v>45128</v>
      </c>
      <c r="M92" s="46">
        <v>45128</v>
      </c>
      <c r="N92" s="48" t="s">
        <v>94</v>
      </c>
      <c r="O92" s="127" t="str">
        <f>IF(Tabla3[[#This Row],[Fecha de Fin ]]&lt;&gt;"","Cerrado","")</f>
        <v>Cerrado</v>
      </c>
      <c r="P92" s="114">
        <f>IFERROR(IF(+NETWORKDAYS(L92,M92,Hoja3!A83:A123)-1&gt;=0,+NETWORKDAYS(L92,M92,Hoja3!A83:A123)-1,""),"")</f>
        <v>0</v>
      </c>
      <c r="Q92" s="176" t="str" cm="1">
        <f t="array" ref="Q92">_xlfn.IFS(Tabla3[[#This Row],[Días CGR]]&lt;=15,"A tiempo",Tabla3[[#This Row],[Días CGR]]="","",Tabla3[[#This Row],[Días CGR]]&gt;15,"En retraso")</f>
        <v>A tiempo</v>
      </c>
      <c r="R92"/>
      <c r="S92" s="37"/>
    </row>
    <row r="93" spans="2:19" ht="72">
      <c r="B93" s="113">
        <f t="shared" si="3"/>
        <v>84</v>
      </c>
      <c r="C93" s="45" t="str">
        <f>IFERROR(VLOOKUP(B93,Tabla1[],2,FALSE),"")</f>
        <v>R55</v>
      </c>
      <c r="D93" s="45" t="str">
        <f>IFERROR(VLOOKUP(B93,Tabla1[],3,FALSE),"")</f>
        <v xml:space="preserve">Reclamación </v>
      </c>
      <c r="E93" s="45" t="str">
        <f>IFERROR(VLOOKUP(B93,Tabla1[],5,FALSE),"")</f>
        <v>T3</v>
      </c>
      <c r="F93" s="45">
        <f>IFERROR(VLOOKUP(B93,Tabla1[],6,FALSE),"")</f>
        <v>2023</v>
      </c>
      <c r="G93" s="45" t="str">
        <f>IFERROR(VLOOKUP(Tabla3[[#This Row],[No.]],Tabla1[],19,FALSE),"")</f>
        <v>Externo</v>
      </c>
      <c r="H93" s="45" t="str">
        <f>IFERROR(VLOOKUP(Tabla3[[#This Row],[No.]],Tabla1[],18,FALSE),"")</f>
        <v>Correo Electrónico</v>
      </c>
      <c r="I93" s="97" t="s">
        <v>508</v>
      </c>
      <c r="J93" s="97" t="s">
        <v>521</v>
      </c>
      <c r="K93" s="181" t="s">
        <v>495</v>
      </c>
      <c r="L93" s="46">
        <v>45140</v>
      </c>
      <c r="M93" s="46">
        <v>45140</v>
      </c>
      <c r="N93" s="48" t="s">
        <v>94</v>
      </c>
      <c r="O93" s="127" t="str">
        <f>IF(Tabla3[[#This Row],[Fecha de Fin ]]&lt;&gt;"","Cerrado","")</f>
        <v>Cerrado</v>
      </c>
      <c r="P93" s="114">
        <f>IFERROR(IF(+NETWORKDAYS(L93,M93,Hoja3!A84:A124)-1&gt;=0,+NETWORKDAYS(L93,M93,Hoja3!A84:A124)-1,""),"")</f>
        <v>0</v>
      </c>
      <c r="Q93" s="176" t="str" cm="1">
        <f t="array" ref="Q93">_xlfn.IFS(Tabla3[[#This Row],[Días CGR]]&lt;=15,"A tiempo",Tabla3[[#This Row],[Días CGR]]="","",Tabla3[[#This Row],[Días CGR]]&gt;15,"En retraso")</f>
        <v>A tiempo</v>
      </c>
      <c r="R93"/>
      <c r="S93" s="37"/>
    </row>
    <row r="94" spans="2:19" ht="100.8">
      <c r="B94" s="113">
        <f t="shared" si="3"/>
        <v>85</v>
      </c>
      <c r="C94" s="45" t="str">
        <f>IFERROR(VLOOKUP(B94,Tabla1[],2,FALSE),"")</f>
        <v>R56</v>
      </c>
      <c r="D94" s="45" t="str">
        <f>IFERROR(VLOOKUP(B94,Tabla1[],3,FALSE),"")</f>
        <v xml:space="preserve">Reclamación </v>
      </c>
      <c r="E94" s="45" t="str">
        <f>IFERROR(VLOOKUP(B94,Tabla1[],5,FALSE),"")</f>
        <v>T3</v>
      </c>
      <c r="F94" s="45">
        <f>IFERROR(VLOOKUP(B94,Tabla1[],6,FALSE),"")</f>
        <v>2023</v>
      </c>
      <c r="G94" s="45" t="str">
        <f>IFERROR(VLOOKUP(Tabla3[[#This Row],[No.]],Tabla1[],19,FALSE),"")</f>
        <v>Externo</v>
      </c>
      <c r="H94" s="45" t="str">
        <f>IFERROR(VLOOKUP(Tabla3[[#This Row],[No.]],Tabla1[],18,FALSE),"")</f>
        <v>Buzón Web</v>
      </c>
      <c r="I94" s="97" t="s">
        <v>509</v>
      </c>
      <c r="J94" s="97" t="s">
        <v>521</v>
      </c>
      <c r="K94" s="181" t="s">
        <v>645</v>
      </c>
      <c r="L94" s="46">
        <v>45141</v>
      </c>
      <c r="M94" s="46">
        <v>45142</v>
      </c>
      <c r="N94" s="48" t="s">
        <v>94</v>
      </c>
      <c r="O94" s="127" t="str">
        <f>IF(Tabla3[[#This Row],[Fecha de Fin ]]&lt;&gt;"","Cerrado","")</f>
        <v>Cerrado</v>
      </c>
      <c r="P94" s="114">
        <f>IFERROR(IF(+NETWORKDAYS(L94,M94,Hoja3!A85:A125)-1&gt;=0,+NETWORKDAYS(L94,M94,Hoja3!A85:A125)-1,""),"")</f>
        <v>1</v>
      </c>
      <c r="Q94" s="176" t="str" cm="1">
        <f t="array" ref="Q94">_xlfn.IFS(Tabla3[[#This Row],[Días CGR]]&lt;=15,"A tiempo",Tabla3[[#This Row],[Días CGR]]="","",Tabla3[[#This Row],[Días CGR]]&gt;15,"En retraso")</f>
        <v>A tiempo</v>
      </c>
      <c r="R94"/>
      <c r="S94" s="37"/>
    </row>
    <row r="95" spans="2:19" ht="72">
      <c r="B95" s="113">
        <f t="shared" si="3"/>
        <v>86</v>
      </c>
      <c r="C95" s="45" t="str">
        <f>IFERROR(VLOOKUP(B95,Tabla1[],2,FALSE),"")</f>
        <v>R57</v>
      </c>
      <c r="D95" s="45" t="str">
        <f>IFERROR(VLOOKUP(B95,Tabla1[],3,FALSE),"")</f>
        <v xml:space="preserve">Reclamación </v>
      </c>
      <c r="E95" s="45" t="str">
        <f>IFERROR(VLOOKUP(B95,Tabla1[],5,FALSE),"")</f>
        <v>T3</v>
      </c>
      <c r="F95" s="45">
        <f>IFERROR(VLOOKUP(B95,Tabla1[],6,FALSE),"")</f>
        <v>2023</v>
      </c>
      <c r="G95" s="45" t="str">
        <f>IFERROR(VLOOKUP(Tabla3[[#This Row],[No.]],Tabla1[],19,FALSE),"")</f>
        <v>Externo</v>
      </c>
      <c r="H95" s="45" t="str">
        <f>IFERROR(VLOOKUP(Tabla3[[#This Row],[No.]],Tabla1[],18,FALSE),"")</f>
        <v>Correo Electrónico</v>
      </c>
      <c r="I95" s="97" t="s">
        <v>643</v>
      </c>
      <c r="J95" s="97" t="s">
        <v>521</v>
      </c>
      <c r="K95" s="181" t="s">
        <v>644</v>
      </c>
      <c r="L95" s="46">
        <v>45140</v>
      </c>
      <c r="M95" s="46">
        <v>45140</v>
      </c>
      <c r="N95" s="48" t="s">
        <v>94</v>
      </c>
      <c r="O95" s="127" t="str">
        <f>IF(Tabla3[[#This Row],[Fecha de Fin ]]&lt;&gt;"","Cerrado","")</f>
        <v>Cerrado</v>
      </c>
      <c r="P95" s="114">
        <f>IFERROR(IF(+NETWORKDAYS(L95,M95,Hoja3!A86:A126)-1&gt;=0,+NETWORKDAYS(L95,M95,Hoja3!A86:A126)-1,""),"")</f>
        <v>0</v>
      </c>
      <c r="Q95" s="176" t="str" cm="1">
        <f t="array" ref="Q95">_xlfn.IFS(Tabla3[[#This Row],[Días CGR]]&lt;=15,"A tiempo",Tabla3[[#This Row],[Días CGR]]="","",Tabla3[[#This Row],[Días CGR]]&gt;15,"En retraso")</f>
        <v>A tiempo</v>
      </c>
      <c r="R95"/>
      <c r="S95" s="37"/>
    </row>
    <row r="96" spans="2:19" ht="72">
      <c r="B96" s="113">
        <f t="shared" si="3"/>
        <v>87</v>
      </c>
      <c r="C96" s="45" t="str">
        <f>IFERROR(VLOOKUP(B96,Tabla1[],2,FALSE),"")</f>
        <v>R58</v>
      </c>
      <c r="D96" s="45" t="str">
        <f>IFERROR(VLOOKUP(B96,Tabla1[],3,FALSE),"")</f>
        <v xml:space="preserve">Reclamación </v>
      </c>
      <c r="E96" s="45" t="str">
        <f>IFERROR(VLOOKUP(B96,Tabla1[],5,FALSE),"")</f>
        <v>T3</v>
      </c>
      <c r="F96" s="45">
        <f>IFERROR(VLOOKUP(B96,Tabla1[],6,FALSE),"")</f>
        <v>2023</v>
      </c>
      <c r="G96" s="45" t="str">
        <f>IFERROR(VLOOKUP(Tabla3[[#This Row],[No.]],Tabla1[],19,FALSE),"")</f>
        <v>Externo</v>
      </c>
      <c r="H96" s="45" t="str">
        <f>IFERROR(VLOOKUP(Tabla3[[#This Row],[No.]],Tabla1[],18,FALSE),"")</f>
        <v>Buzón Web</v>
      </c>
      <c r="I96" s="97" t="s">
        <v>509</v>
      </c>
      <c r="J96" s="97" t="s">
        <v>521</v>
      </c>
      <c r="K96" s="181" t="s">
        <v>608</v>
      </c>
      <c r="L96" s="46">
        <v>45147</v>
      </c>
      <c r="M96" s="46">
        <v>45155</v>
      </c>
      <c r="N96" s="48" t="s">
        <v>94</v>
      </c>
      <c r="O96" s="127" t="str">
        <f>IF(Tabla3[[#This Row],[Fecha de Fin ]]&lt;&gt;"","Cerrado","")</f>
        <v>Cerrado</v>
      </c>
      <c r="P96" s="114">
        <f>IFERROR(IF(+NETWORKDAYS(L96,M96,Hoja3!A87:A127)-1&gt;=0,+NETWORKDAYS(L96,M96,Hoja3!A87:A127)-1,""),"")</f>
        <v>6</v>
      </c>
      <c r="Q96" s="176" t="str" cm="1">
        <f t="array" ref="Q96">_xlfn.IFS(Tabla3[[#This Row],[Días CGR]]&lt;=15,"A tiempo",Tabla3[[#This Row],[Días CGR]]="","",Tabla3[[#This Row],[Días CGR]]&gt;15,"En retraso")</f>
        <v>A tiempo</v>
      </c>
      <c r="R96"/>
      <c r="S96" s="37"/>
    </row>
    <row r="97" spans="2:19" ht="72">
      <c r="B97" s="113">
        <f t="shared" si="3"/>
        <v>88</v>
      </c>
      <c r="C97" s="45" t="str">
        <f>IFERROR(VLOOKUP(B97,Tabla1[],2,FALSE),"")</f>
        <v>R59</v>
      </c>
      <c r="D97" s="45" t="str">
        <f>IFERROR(VLOOKUP(B97,Tabla1[],3,FALSE),"")</f>
        <v xml:space="preserve">Reclamación </v>
      </c>
      <c r="E97" s="45" t="str">
        <f>IFERROR(VLOOKUP(B97,Tabla1[],5,FALSE),"")</f>
        <v>T3</v>
      </c>
      <c r="F97" s="45">
        <f>IFERROR(VLOOKUP(B97,Tabla1[],6,FALSE),"")</f>
        <v>2023</v>
      </c>
      <c r="G97" s="45" t="str">
        <f>IFERROR(VLOOKUP(Tabla3[[#This Row],[No.]],Tabla1[],19,FALSE),"")</f>
        <v>Externo</v>
      </c>
      <c r="H97" s="45" t="str">
        <f>IFERROR(VLOOKUP(Tabla3[[#This Row],[No.]],Tabla1[],18,FALSE),"")</f>
        <v>Buzón Web</v>
      </c>
      <c r="I97" s="97" t="s">
        <v>509</v>
      </c>
      <c r="J97" s="97" t="s">
        <v>521</v>
      </c>
      <c r="K97" s="181" t="s">
        <v>608</v>
      </c>
      <c r="L97" s="46">
        <v>45148</v>
      </c>
      <c r="M97" s="46">
        <v>45153</v>
      </c>
      <c r="N97" s="48" t="s">
        <v>94</v>
      </c>
      <c r="O97" s="127" t="str">
        <f>IF(Tabla3[[#This Row],[Fecha de Fin ]]&lt;&gt;"","Cerrado","")</f>
        <v>Cerrado</v>
      </c>
      <c r="P97" s="114">
        <f>IFERROR(IF(+NETWORKDAYS(L97,M97,Hoja3!A88:A128)-1&gt;=0,+NETWORKDAYS(L97,M97,Hoja3!A88:A128)-1,""),"")</f>
        <v>3</v>
      </c>
      <c r="Q97" s="176" t="str" cm="1">
        <f t="array" ref="Q97">_xlfn.IFS(Tabla3[[#This Row],[Días CGR]]&lt;=15,"A tiempo",Tabla3[[#This Row],[Días CGR]]="","",Tabla3[[#This Row],[Días CGR]]&gt;15,"En retraso")</f>
        <v>A tiempo</v>
      </c>
      <c r="R97"/>
      <c r="S97" s="37"/>
    </row>
    <row r="98" spans="2:19" ht="72">
      <c r="B98" s="113">
        <f t="shared" si="3"/>
        <v>89</v>
      </c>
      <c r="C98" s="45" t="str">
        <f>IFERROR(VLOOKUP(B98,Tabla1[],2,FALSE),"")</f>
        <v>R60</v>
      </c>
      <c r="D98" s="45" t="str">
        <f>IFERROR(VLOOKUP(B98,Tabla1[],3,FALSE),"")</f>
        <v xml:space="preserve">Reclamación </v>
      </c>
      <c r="E98" s="45" t="str">
        <f>IFERROR(VLOOKUP(B98,Tabla1[],5,FALSE),"")</f>
        <v>T3</v>
      </c>
      <c r="F98" s="45">
        <f>IFERROR(VLOOKUP(B98,Tabla1[],6,FALSE),"")</f>
        <v>2023</v>
      </c>
      <c r="G98" s="45" t="str">
        <f>IFERROR(VLOOKUP(Tabla3[[#This Row],[No.]],Tabla1[],19,FALSE),"")</f>
        <v>Externo</v>
      </c>
      <c r="H98" s="45" t="str">
        <f>IFERROR(VLOOKUP(Tabla3[[#This Row],[No.]],Tabla1[],18,FALSE),"")</f>
        <v>Buzón Web</v>
      </c>
      <c r="I98" s="97" t="s">
        <v>509</v>
      </c>
      <c r="J98" s="97" t="s">
        <v>521</v>
      </c>
      <c r="K98" s="181" t="s">
        <v>608</v>
      </c>
      <c r="L98" s="46">
        <v>45148</v>
      </c>
      <c r="M98" s="46">
        <v>45153</v>
      </c>
      <c r="N98" s="48" t="s">
        <v>94</v>
      </c>
      <c r="O98" s="127" t="str">
        <f>IF(Tabla3[[#This Row],[Fecha de Fin ]]&lt;&gt;"","Cerrado","")</f>
        <v>Cerrado</v>
      </c>
      <c r="P98" s="114">
        <f>IFERROR(IF(+NETWORKDAYS(L98,M98,Hoja3!A89:A129)-1&gt;=0,+NETWORKDAYS(L98,M98,Hoja3!A89:A129)-1,""),"")</f>
        <v>3</v>
      </c>
      <c r="Q98" s="176" t="str" cm="1">
        <f t="array" ref="Q98">_xlfn.IFS(Tabla3[[#This Row],[Días CGR]]&lt;=15,"A tiempo",Tabla3[[#This Row],[Días CGR]]="","",Tabla3[[#This Row],[Días CGR]]&gt;15,"En retraso")</f>
        <v>A tiempo</v>
      </c>
      <c r="R98"/>
      <c r="S98" s="37"/>
    </row>
    <row r="99" spans="2:19" ht="115.2">
      <c r="B99" s="113">
        <f t="shared" si="3"/>
        <v>90</v>
      </c>
      <c r="C99" s="45" t="str">
        <f>IFERROR(VLOOKUP(B99,Tabla1[],2,FALSE),"")</f>
        <v>R61</v>
      </c>
      <c r="D99" s="45" t="str">
        <f>IFERROR(VLOOKUP(B99,Tabla1[],3,FALSE),"")</f>
        <v xml:space="preserve">Reclamación </v>
      </c>
      <c r="E99" s="45" t="str">
        <f>IFERROR(VLOOKUP(B99,Tabla1[],5,FALSE),"")</f>
        <v>T3</v>
      </c>
      <c r="F99" s="45">
        <f>IFERROR(VLOOKUP(B99,Tabla1[],6,FALSE),"")</f>
        <v>2023</v>
      </c>
      <c r="G99" s="45" t="str">
        <f>IFERROR(VLOOKUP(Tabla3[[#This Row],[No.]],Tabla1[],19,FALSE),"")</f>
        <v>Externo</v>
      </c>
      <c r="H99" s="45" t="str">
        <f>IFERROR(VLOOKUP(Tabla3[[#This Row],[No.]],Tabla1[],18,FALSE),"")</f>
        <v>Buzón Web</v>
      </c>
      <c r="I99" s="97" t="s">
        <v>642</v>
      </c>
      <c r="J99" s="97" t="s">
        <v>521</v>
      </c>
      <c r="K99" s="181" t="s">
        <v>648</v>
      </c>
      <c r="L99" s="46">
        <v>45153</v>
      </c>
      <c r="M99" s="46">
        <v>45155</v>
      </c>
      <c r="N99" s="48" t="s">
        <v>94</v>
      </c>
      <c r="O99" s="127" t="str">
        <f>IF(Tabla3[[#This Row],[Fecha de Fin ]]&lt;&gt;"","Cerrado","")</f>
        <v>Cerrado</v>
      </c>
      <c r="P99" s="114">
        <f>IFERROR(IF(+NETWORKDAYS(L99,M99,Hoja3!A90:A130)-1&gt;=0,+NETWORKDAYS(L99,M99,Hoja3!A90:A130)-1,""),"")</f>
        <v>2</v>
      </c>
      <c r="Q99" s="176" t="str" cm="1">
        <f t="array" ref="Q99">_xlfn.IFS(Tabla3[[#This Row],[Días CGR]]&lt;=15,"A tiempo",Tabla3[[#This Row],[Días CGR]]="","",Tabla3[[#This Row],[Días CGR]]&gt;15,"En retraso")</f>
        <v>A tiempo</v>
      </c>
      <c r="R99"/>
      <c r="S99" s="37"/>
    </row>
    <row r="100" spans="2:19" ht="72">
      <c r="B100" s="113">
        <f t="shared" si="3"/>
        <v>91</v>
      </c>
      <c r="C100" s="41" t="str">
        <f>IFERROR(VLOOKUP(B100,Tabla1[],2,FALSE),"")</f>
        <v>R62</v>
      </c>
      <c r="D100" s="45" t="str">
        <f>IFERROR(VLOOKUP(B100,Tabla1[],3,FALSE),"")</f>
        <v xml:space="preserve">Reclamación </v>
      </c>
      <c r="E100" s="45" t="str">
        <f>IFERROR(VLOOKUP(B100,Tabla1[],5,FALSE),"")</f>
        <v>T3</v>
      </c>
      <c r="F100" s="45">
        <f>IFERROR(VLOOKUP(B100,Tabla1[],6,FALSE),"")</f>
        <v>2023</v>
      </c>
      <c r="G100" s="45" t="str">
        <f>IFERROR(VLOOKUP(Tabla3[[#This Row],[No.]],Tabla1[],19,FALSE),"")</f>
        <v>Externo</v>
      </c>
      <c r="H100" s="45" t="str">
        <f>IFERROR(VLOOKUP(Tabla3[[#This Row],[No.]],Tabla1[],18,FALSE),"")</f>
        <v>Correo Electrónico</v>
      </c>
      <c r="I100" s="97" t="s">
        <v>647</v>
      </c>
      <c r="J100" s="97" t="s">
        <v>521</v>
      </c>
      <c r="K100" s="181" t="s">
        <v>646</v>
      </c>
      <c r="L100" s="46">
        <v>45153</v>
      </c>
      <c r="M100" s="46">
        <v>45155</v>
      </c>
      <c r="N100" s="48" t="s">
        <v>94</v>
      </c>
      <c r="O100" s="127" t="str">
        <f>IF(Tabla3[[#This Row],[Fecha de Fin ]]&lt;&gt;"","Cerrado","")</f>
        <v>Cerrado</v>
      </c>
      <c r="P100" s="114">
        <f>IFERROR(IF(+NETWORKDAYS(L100,M100,Hoja3!A90:A130)-1&gt;=0,+NETWORKDAYS(L100,M100,Hoja3!A90:A130)-1,""),"")</f>
        <v>2</v>
      </c>
      <c r="Q100" s="176" t="str" cm="1">
        <f t="array" ref="Q100">_xlfn.IFS(Tabla3[[#This Row],[Días CGR]]&lt;=15,"A tiempo",Tabla3[[#This Row],[Días CGR]]="","",Tabla3[[#This Row],[Días CGR]]&gt;15,"En retraso")</f>
        <v>A tiempo</v>
      </c>
      <c r="R100"/>
      <c r="S100" s="37"/>
    </row>
    <row r="101" spans="2:19" ht="72">
      <c r="B101" s="113">
        <f t="shared" si="3"/>
        <v>92</v>
      </c>
      <c r="C101" s="45" t="str">
        <f>IFERROR(VLOOKUP(B101,Tabla1[],2,FALSE),"")</f>
        <v>R63</v>
      </c>
      <c r="D101" s="45" t="str">
        <f>IFERROR(VLOOKUP(B101,Tabla1[],3,FALSE),"")</f>
        <v xml:space="preserve">Reclamación </v>
      </c>
      <c r="E101" s="45" t="str">
        <f>IFERROR(VLOOKUP(B101,Tabla1[],5,FALSE),"")</f>
        <v>T3</v>
      </c>
      <c r="F101" s="45">
        <f>IFERROR(VLOOKUP(B101,Tabla1[],6,FALSE),"")</f>
        <v>2023</v>
      </c>
      <c r="G101" s="45" t="str">
        <f>IFERROR(VLOOKUP(Tabla3[[#This Row],[No.]],Tabla1[],19,FALSE),"")</f>
        <v>Externo</v>
      </c>
      <c r="H101" s="45" t="str">
        <f>IFERROR(VLOOKUP(Tabla3[[#This Row],[No.]],Tabla1[],18,FALSE),"")</f>
        <v>Buzón Web</v>
      </c>
      <c r="I101" s="97" t="s">
        <v>647</v>
      </c>
      <c r="J101" s="97" t="s">
        <v>521</v>
      </c>
      <c r="K101" s="181" t="s">
        <v>646</v>
      </c>
      <c r="L101" s="46">
        <v>45159</v>
      </c>
      <c r="M101" s="46">
        <v>45160</v>
      </c>
      <c r="N101" s="48" t="s">
        <v>94</v>
      </c>
      <c r="O101" s="127" t="str">
        <f>IF(Tabla3[[#This Row],[Fecha de Fin ]]&lt;&gt;"","Cerrado","")</f>
        <v>Cerrado</v>
      </c>
      <c r="P101" s="114">
        <f>IFERROR(IF(+NETWORKDAYS(L101,M101,Hoja3!A91:A131)-1&gt;=0,+NETWORKDAYS(L101,M101,Hoja3!A91:A131)-1,""),"")</f>
        <v>1</v>
      </c>
      <c r="Q101" s="176" t="str" cm="1">
        <f t="array" ref="Q101">_xlfn.IFS(Tabla3[[#This Row],[Días CGR]]&lt;=15,"A tiempo",Tabla3[[#This Row],[Días CGR]]="","",Tabla3[[#This Row],[Días CGR]]&gt;15,"En retraso")</f>
        <v>A tiempo</v>
      </c>
      <c r="R101"/>
      <c r="S101" s="37"/>
    </row>
    <row r="102" spans="2:19" ht="100.2" customHeight="1">
      <c r="B102" s="113">
        <f t="shared" si="3"/>
        <v>93</v>
      </c>
      <c r="C102" s="45" t="str">
        <f>IFERROR(VLOOKUP(B102,Tabla1[],2,FALSE),"")</f>
        <v>Q21</v>
      </c>
      <c r="D102" s="45" t="str">
        <f>IFERROR(VLOOKUP(B102,Tabla1[],3,FALSE),"")</f>
        <v>Queja</v>
      </c>
      <c r="E102" s="45" t="str">
        <f>IFERROR(VLOOKUP(B102,Tabla1[],5,FALSE),"")</f>
        <v>T3</v>
      </c>
      <c r="F102" s="45">
        <f>IFERROR(VLOOKUP(B102,Tabla1[],6,FALSE),"")</f>
        <v>2023</v>
      </c>
      <c r="G102" s="45" t="str">
        <f>IFERROR(VLOOKUP(Tabla3[[#This Row],[No.]],Tabla1[],19,FALSE),"")</f>
        <v>Interno</v>
      </c>
      <c r="H102" s="45" t="str">
        <f>IFERROR(VLOOKUP(Tabla3[[#This Row],[No.]],Tabla1[],18,FALSE),"")</f>
        <v>Buzón Físico</v>
      </c>
      <c r="I102" s="97" t="s">
        <v>665</v>
      </c>
      <c r="J102" s="97" t="s">
        <v>666</v>
      </c>
      <c r="K102" s="97" t="s">
        <v>667</v>
      </c>
      <c r="L102" s="46">
        <v>45180</v>
      </c>
      <c r="M102" s="46">
        <v>45190</v>
      </c>
      <c r="N102" s="48" t="s">
        <v>668</v>
      </c>
      <c r="O102" s="196" t="str">
        <f>IF(Tabla3[[#This Row],[Fecha de Fin ]]&lt;&gt;"","Cerrado","")</f>
        <v>Cerrado</v>
      </c>
      <c r="P102" s="114">
        <f>IFERROR(IF(+NETWORKDAYS(L103,M103,Hoja3!A92:A132)-1&gt;=0,+NETWORKDAYS(L103,M103,Hoja3!A92:A132)-1,""),"")</f>
        <v>2</v>
      </c>
      <c r="Q102" s="176" t="str" cm="1">
        <f t="array" ref="Q102">_xlfn.IFS(Tabla3[[#This Row],[Días CGR]]&lt;=15,"A tiempo",Tabla3[[#This Row],[Días CGR]]="","",Tabla3[[#This Row],[Días CGR]]&gt;15,"En retraso")</f>
        <v>A tiempo</v>
      </c>
      <c r="R102"/>
      <c r="S102" s="37"/>
    </row>
    <row r="103" spans="2:19" ht="142.80000000000001" customHeight="1">
      <c r="B103" s="113">
        <f t="shared" si="3"/>
        <v>94</v>
      </c>
      <c r="C103" s="41" t="str">
        <f>IFERROR(VLOOKUP(B103,Tabla1[],2,FALSE),"")</f>
        <v>R64</v>
      </c>
      <c r="D103" s="45" t="str">
        <f>IFERROR(VLOOKUP(B103,Tabla1[],3,FALSE),"")</f>
        <v xml:space="preserve">Reclamación </v>
      </c>
      <c r="E103" s="45" t="str">
        <f>IFERROR(VLOOKUP(B103,Tabla1[],5,FALSE),"")</f>
        <v>T3</v>
      </c>
      <c r="F103" s="45">
        <f>IFERROR(VLOOKUP(B103,Tabla1[],6,FALSE),"")</f>
        <v>2023</v>
      </c>
      <c r="G103" s="45" t="str">
        <f>IFERROR(VLOOKUP(Tabla3[[#This Row],[No.]],Tabla1[],19,FALSE),"")</f>
        <v>Externo</v>
      </c>
      <c r="H103" s="45" t="str">
        <f>IFERROR(VLOOKUP(Tabla3[[#This Row],[No.]],Tabla1[],18,FALSE),"")</f>
        <v>Buzón Web</v>
      </c>
      <c r="I103" s="97" t="s">
        <v>509</v>
      </c>
      <c r="J103" s="97" t="s">
        <v>521</v>
      </c>
      <c r="K103" s="181" t="s">
        <v>663</v>
      </c>
      <c r="L103" s="46">
        <v>45177</v>
      </c>
      <c r="M103" s="46">
        <v>45181</v>
      </c>
      <c r="N103" s="48" t="s">
        <v>94</v>
      </c>
      <c r="O103" s="127" t="str">
        <f>IF(Tabla3[[#This Row],[Fecha de Fin ]]&lt;&gt;"","Cerrado","")</f>
        <v>Cerrado</v>
      </c>
      <c r="P103" s="114">
        <f>IFERROR(IF(+NETWORKDAYS(L104,M104,Hoja3!A93:A133)-1&gt;=0,+NETWORKDAYS(L104,M104,Hoja3!A93:A133)-1,""),"")</f>
        <v>1</v>
      </c>
      <c r="Q103" s="176" t="str" cm="1">
        <f t="array" ref="Q103">_xlfn.IFS(Tabla3[[#This Row],[Días CGR]]&lt;=15,"A tiempo",Tabla3[[#This Row],[Días CGR]]="","",Tabla3[[#This Row],[Días CGR]]&gt;15,"En retraso")</f>
        <v>A tiempo</v>
      </c>
      <c r="R103"/>
      <c r="S103" s="37"/>
    </row>
    <row r="104" spans="2:19" ht="141.6" customHeight="1">
      <c r="B104" s="113">
        <f t="shared" si="3"/>
        <v>95</v>
      </c>
      <c r="C104" s="45" t="str">
        <f>IFERROR(VLOOKUP(B104,Tabla1[],2,FALSE),"")</f>
        <v>R65</v>
      </c>
      <c r="D104" s="45" t="str">
        <f>IFERROR(VLOOKUP(B104,Tabla1[],3,FALSE),"")</f>
        <v xml:space="preserve">Reclamación </v>
      </c>
      <c r="E104" s="45" t="str">
        <f>IFERROR(VLOOKUP(B104,Tabla1[],5,FALSE),"")</f>
        <v>T3</v>
      </c>
      <c r="F104" s="45">
        <f>IFERROR(VLOOKUP(B104,Tabla1[],6,FALSE),"")</f>
        <v>2023</v>
      </c>
      <c r="G104" s="45" t="str">
        <f>IFERROR(VLOOKUP(Tabla3[[#This Row],[No.]],Tabla1[],19,FALSE),"")</f>
        <v>Externo</v>
      </c>
      <c r="H104" s="45" t="str">
        <f>IFERROR(VLOOKUP(Tabla3[[#This Row],[No.]],Tabla1[],18,FALSE),"")</f>
        <v>Correo Electrónico</v>
      </c>
      <c r="I104" s="97" t="s">
        <v>662</v>
      </c>
      <c r="J104" s="97" t="s">
        <v>521</v>
      </c>
      <c r="K104" s="181" t="s">
        <v>663</v>
      </c>
      <c r="L104" s="46">
        <v>45178</v>
      </c>
      <c r="M104" s="46">
        <v>45181</v>
      </c>
      <c r="N104" s="48" t="s">
        <v>94</v>
      </c>
      <c r="O104" s="127" t="str">
        <f>IF(Tabla3[[#This Row],[Fecha de Fin ]]&lt;&gt;"","Cerrado","")</f>
        <v>Cerrado</v>
      </c>
      <c r="P104" s="114">
        <f>IFERROR(IF(+NETWORKDAYS(L104,M104,Hoja3!A93:A133)-1&gt;=0,+NETWORKDAYS(L104,M104,Hoja3!A93:A133)-1,""),"")</f>
        <v>1</v>
      </c>
      <c r="Q104" s="176" t="str" cm="1">
        <f t="array" ref="Q104">_xlfn.IFS(Tabla3[[#This Row],[Días CGR]]&lt;=15,"A tiempo",Tabla3[[#This Row],[Días CGR]]="","",Tabla3[[#This Row],[Días CGR]]&gt;15,"En retraso")</f>
        <v>A tiempo</v>
      </c>
      <c r="R104"/>
      <c r="S104" s="37"/>
    </row>
    <row r="105" spans="2:19" ht="69.599999999999994" customHeight="1">
      <c r="B105" s="113">
        <f t="shared" si="3"/>
        <v>96</v>
      </c>
      <c r="C105" s="41" t="str">
        <f>IFERROR(VLOOKUP(B105,Tabla1[],2,FALSE),"")</f>
        <v>Q22</v>
      </c>
      <c r="D105" s="45" t="str">
        <f>IFERROR(VLOOKUP(B105,Tabla1[],3,FALSE),"")</f>
        <v>Queja</v>
      </c>
      <c r="E105" s="45" t="str">
        <f>IFERROR(VLOOKUP(B105,Tabla1[],5,FALSE),"")</f>
        <v>T3</v>
      </c>
      <c r="F105" s="45">
        <f>IFERROR(VLOOKUP(B105,Tabla1[],6,FALSE),"")</f>
        <v>2023</v>
      </c>
      <c r="G105" s="45" t="str">
        <f>IFERROR(VLOOKUP(Tabla3[[#This Row],[No.]],Tabla1[],19,FALSE),"")</f>
        <v>Interno</v>
      </c>
      <c r="H105" s="45" t="str">
        <f>IFERROR(VLOOKUP(Tabla3[[#This Row],[No.]],Tabla1[],18,FALSE),"")</f>
        <v>Buzón Web</v>
      </c>
      <c r="I105" s="97" t="s">
        <v>679</v>
      </c>
      <c r="J105" s="97"/>
      <c r="K105" s="181"/>
      <c r="L105" s="46">
        <v>45190</v>
      </c>
      <c r="M105" s="46"/>
      <c r="N105" s="48"/>
      <c r="O105" s="127" t="str">
        <f>IF(Tabla3[[#This Row],[Fecha de Fin ]]&lt;&gt;"","Cerrado","")</f>
        <v/>
      </c>
      <c r="P105" s="193" t="str">
        <f>IFERROR(IF(+NETWORKDAYS(L105,M105,Hoja3!A96:A136)-1&gt;=0,+NETWORKDAYS(L105,M105,Hoja3!A96:A136)-1,""),"")</f>
        <v/>
      </c>
      <c r="Q105" s="176" t="str" cm="1">
        <f t="array" ref="Q105">_xlfn.IFS(Tabla3[[#This Row],[Días CGR]]&lt;=15,"A tiempo",Tabla3[[#This Row],[Días CGR]]="","",Tabla3[[#This Row],[Días CGR]]&gt;15,"En retraso")</f>
        <v/>
      </c>
      <c r="R105"/>
      <c r="S105" s="37"/>
    </row>
    <row r="106" spans="2:19" ht="99.6" customHeight="1">
      <c r="B106" s="113">
        <f t="shared" ref="B106:B107" si="4">ROW(A106)-ROW($A$9)</f>
        <v>97</v>
      </c>
      <c r="C106" s="41" t="str">
        <f>IFERROR(VLOOKUP(B106,Tabla1[],2,FALSE),"")</f>
        <v>R66</v>
      </c>
      <c r="D106" s="45" t="str">
        <f>IFERROR(VLOOKUP(B106,Tabla1[],3,FALSE),"")</f>
        <v xml:space="preserve">Reclamación </v>
      </c>
      <c r="E106" s="45" t="str">
        <f>IFERROR(VLOOKUP(B106,Tabla1[],5,FALSE),"")</f>
        <v>T3</v>
      </c>
      <c r="F106" s="45">
        <f>IFERROR(VLOOKUP(B106,Tabla1[],6,FALSE),"")</f>
        <v>2023</v>
      </c>
      <c r="G106" s="45" t="str">
        <f>IFERROR(VLOOKUP(Tabla3[[#This Row],[No.]],Tabla1[],19,FALSE),"")</f>
        <v>Externo</v>
      </c>
      <c r="H106" s="45" t="str">
        <f>IFERROR(VLOOKUP(Tabla3[[#This Row],[No.]],Tabla1[],18,FALSE),"")</f>
        <v>Buzón Web</v>
      </c>
      <c r="I106" s="97" t="s">
        <v>677</v>
      </c>
      <c r="J106" s="97" t="s">
        <v>521</v>
      </c>
      <c r="K106" s="181" t="s">
        <v>693</v>
      </c>
      <c r="L106" s="46">
        <v>45194</v>
      </c>
      <c r="M106" s="46">
        <v>45194</v>
      </c>
      <c r="N106" s="48" t="s">
        <v>94</v>
      </c>
      <c r="O106" s="127" t="str">
        <f>IF(Tabla3[[#This Row],[Fecha de Fin ]]&lt;&gt;"","Cerrado","")</f>
        <v>Cerrado</v>
      </c>
      <c r="P106" s="114">
        <f>IFERROR(IF(+NETWORKDAYS(L106,M106,Hoja3!A97:A137)-1&gt;=0,+NETWORKDAYS(L106,M106,Hoja3!A97:A137)-1,""),"")</f>
        <v>0</v>
      </c>
      <c r="Q106" s="176" t="str" cm="1">
        <f t="array" ref="Q106">_xlfn.IFS(Tabla3[[#This Row],[Días CGR]]&lt;=15,"A tiempo",Tabla3[[#This Row],[Días CGR]]="","",Tabla3[[#This Row],[Días CGR]]&gt;15,"En retraso")</f>
        <v>A tiempo</v>
      </c>
      <c r="R106"/>
      <c r="S106" s="37"/>
    </row>
    <row r="107" spans="2:19" ht="109.2" customHeight="1">
      <c r="B107" s="113">
        <f t="shared" si="4"/>
        <v>98</v>
      </c>
      <c r="C107" s="41" t="str">
        <f>IFERROR(VLOOKUP(B107,Tabla1[],2,FALSE),"")</f>
        <v>R67</v>
      </c>
      <c r="D107" s="45" t="str">
        <f>IFERROR(VLOOKUP(B107,Tabla1[],3,FALSE),"")</f>
        <v xml:space="preserve">Reclamación </v>
      </c>
      <c r="E107" s="45" t="str">
        <f>IFERROR(VLOOKUP(B107,Tabla1[],5,FALSE),"")</f>
        <v>T3</v>
      </c>
      <c r="F107" s="45">
        <f>IFERROR(VLOOKUP(B107,Tabla1[],6,FALSE),"")</f>
        <v>2023</v>
      </c>
      <c r="G107" s="45" t="str">
        <f>IFERROR(VLOOKUP(Tabla3[[#This Row],[No.]],Tabla1[],19,FALSE),"")</f>
        <v>Externo</v>
      </c>
      <c r="H107" s="45" t="str">
        <f>IFERROR(VLOOKUP(Tabla3[[#This Row],[No.]],Tabla1[],18,FALSE),"")</f>
        <v>Buzón Web</v>
      </c>
      <c r="I107" s="97" t="s">
        <v>678</v>
      </c>
      <c r="J107" s="97" t="s">
        <v>521</v>
      </c>
      <c r="K107" s="181" t="s">
        <v>680</v>
      </c>
      <c r="L107" s="46">
        <v>45194</v>
      </c>
      <c r="M107" s="46">
        <v>45194</v>
      </c>
      <c r="N107" s="48" t="s">
        <v>94</v>
      </c>
      <c r="O107" s="127" t="str">
        <f>IF(Tabla3[[#This Row],[Fecha de Fin ]]&lt;&gt;"","Cerrado","")</f>
        <v>Cerrado</v>
      </c>
      <c r="P107" s="114">
        <f>IFERROR(IF(+NETWORKDAYS(L107,M107,Hoja3!A98:A138)-1&gt;=0,+NETWORKDAYS(L107,M107,Hoja3!A98:A138)-1,""),"")</f>
        <v>0</v>
      </c>
      <c r="Q107" s="176" t="str" cm="1">
        <f t="array" ref="Q107">_xlfn.IFS(Tabla3[[#This Row],[Días CGR]]&lt;=15,"A tiempo",Tabla3[[#This Row],[Días CGR]]="","",Tabla3[[#This Row],[Días CGR]]&gt;15,"En retraso")</f>
        <v>A tiempo</v>
      </c>
      <c r="R107"/>
      <c r="S107" s="37"/>
    </row>
    <row r="108" spans="2:19" ht="140.4" customHeight="1">
      <c r="B108" s="113">
        <f t="shared" ref="B108:B110" si="5">ROW(A108)-ROW($A$9)</f>
        <v>99</v>
      </c>
      <c r="C108" s="41" t="str">
        <f>IFERROR(VLOOKUP(B108,Tabla1[],2,FALSE),"")</f>
        <v>R68</v>
      </c>
      <c r="D108" s="45" t="str">
        <f>IFERROR(VLOOKUP(B108,Tabla1[],3,FALSE),"")</f>
        <v xml:space="preserve">Reclamación </v>
      </c>
      <c r="E108" s="45" t="str">
        <f>IFERROR(VLOOKUP(B108,Tabla1[],5,FALSE),"")</f>
        <v>T3</v>
      </c>
      <c r="F108" s="45">
        <f>IFERROR(VLOOKUP(B108,Tabla1[],6,FALSE),"")</f>
        <v>2023</v>
      </c>
      <c r="G108" s="45" t="str">
        <f>IFERROR(VLOOKUP(Tabla3[[#This Row],[No.]],Tabla1[],19,FALSE),"")</f>
        <v>Externo</v>
      </c>
      <c r="H108" s="45" t="str">
        <f>IFERROR(VLOOKUP(Tabla3[[#This Row],[No.]],Tabla1[],18,FALSE),"")</f>
        <v>Buzón Web</v>
      </c>
      <c r="I108" s="97" t="s">
        <v>708</v>
      </c>
      <c r="J108" s="97" t="s">
        <v>517</v>
      </c>
      <c r="K108" s="47" t="s">
        <v>709</v>
      </c>
      <c r="L108" s="46">
        <v>45197</v>
      </c>
      <c r="M108" s="46">
        <v>45197</v>
      </c>
      <c r="N108" s="48" t="s">
        <v>94</v>
      </c>
      <c r="O108" s="195" t="str">
        <f>IF(Tabla3[[#This Row],[Fecha de Fin ]]&lt;&gt;"","Cerrado","")</f>
        <v>Cerrado</v>
      </c>
      <c r="P108" s="114">
        <f>IFERROR(IF(+NETWORKDAYS(L108,M108,Hoja3!A99:A139)-1&gt;=0,+NETWORKDAYS(L108,M108,Hoja3!A99:A139)-1,""),"")</f>
        <v>0</v>
      </c>
      <c r="Q108" s="176" t="str" cm="1">
        <f t="array" ref="Q108">_xlfn.IFS(Tabla3[[#This Row],[Días CGR]]&lt;=15,"A tiempo",Tabla3[[#This Row],[Días CGR]]="","",Tabla3[[#This Row],[Días CGR]]&gt;15,"En retraso")</f>
        <v>A tiempo</v>
      </c>
      <c r="R108" s="175"/>
    </row>
    <row r="109" spans="2:19" ht="130.80000000000001" customHeight="1">
      <c r="B109" s="113">
        <f t="shared" si="5"/>
        <v>100</v>
      </c>
      <c r="C109" s="41" t="str">
        <f>IFERROR(VLOOKUP(B109,Tabla1[],2,FALSE),"")</f>
        <v>S05</v>
      </c>
      <c r="D109" s="45" t="str">
        <f>IFERROR(VLOOKUP(B109,Tabla1[],3,FALSE),"")</f>
        <v xml:space="preserve">Reclamación </v>
      </c>
      <c r="E109" s="45" t="str">
        <f>IFERROR(VLOOKUP(B109,Tabla1[],5,FALSE),"")</f>
        <v>T3</v>
      </c>
      <c r="F109" s="45">
        <f>IFERROR(VLOOKUP(B109,Tabla1[],6,FALSE),"")</f>
        <v>2023</v>
      </c>
      <c r="G109" s="45" t="str">
        <f>IFERROR(VLOOKUP(Tabla3[[#This Row],[No.]],Tabla1[],19,FALSE),"")</f>
        <v>Externo</v>
      </c>
      <c r="H109" s="45" t="str">
        <f>IFERROR(VLOOKUP(Tabla3[[#This Row],[No.]],Tabla1[],18,FALSE),"")</f>
        <v>Buzón Web</v>
      </c>
      <c r="I109" s="97" t="s">
        <v>706</v>
      </c>
      <c r="J109" s="97" t="s">
        <v>517</v>
      </c>
      <c r="K109" s="97" t="s">
        <v>707</v>
      </c>
      <c r="L109" s="46">
        <v>45197</v>
      </c>
      <c r="M109" s="46">
        <v>45197</v>
      </c>
      <c r="N109" s="48" t="s">
        <v>94</v>
      </c>
      <c r="O109" s="195" t="str">
        <f>IF(Tabla3[[#This Row],[Fecha de Fin ]]&lt;&gt;"","Cerrado","")</f>
        <v>Cerrado</v>
      </c>
      <c r="P109" s="114">
        <f>IFERROR(IF(+NETWORKDAYS(L109,M109,Hoja3!A100:A140)-1&gt;=0,+NETWORKDAYS(L109,M109,Hoja3!A100:A140)-1,""),"")</f>
        <v>0</v>
      </c>
      <c r="Q109" s="176" t="str" cm="1">
        <f t="array" ref="Q109">_xlfn.IFS(Tabla3[[#This Row],[Días CGR]]&lt;=15,"A tiempo",Tabla3[[#This Row],[Días CGR]]="","",Tabla3[[#This Row],[Días CGR]]&gt;15,"En retraso")</f>
        <v>A tiempo</v>
      </c>
    </row>
    <row r="110" spans="2:19" ht="91.8" customHeight="1">
      <c r="B110" s="113">
        <f t="shared" si="5"/>
        <v>101</v>
      </c>
      <c r="C110" s="41" t="str">
        <f>IFERROR(VLOOKUP(B110,Tabla1[],2,FALSE),"")</f>
        <v>R69</v>
      </c>
      <c r="D110" s="45" t="str">
        <f>IFERROR(VLOOKUP(B110,Tabla1[],3,FALSE),"")</f>
        <v xml:space="preserve">Reclamación </v>
      </c>
      <c r="E110" s="45" t="str">
        <f>IFERROR(VLOOKUP(B110,Tabla1[],5,FALSE),"")</f>
        <v>T3</v>
      </c>
      <c r="F110" s="45">
        <f>IFERROR(VLOOKUP(B110,Tabla1[],6,FALSE),"")</f>
        <v>2023</v>
      </c>
      <c r="G110" s="45" t="str">
        <f>IFERROR(VLOOKUP(Tabla3[[#This Row],[No.]],Tabla1[],19,FALSE),"")</f>
        <v>Externo</v>
      </c>
      <c r="H110" s="45" t="str">
        <f>IFERROR(VLOOKUP(Tabla3[[#This Row],[No.]],Tabla1[],18,FALSE),"")</f>
        <v>Buzón Web</v>
      </c>
      <c r="I110" s="97" t="s">
        <v>710</v>
      </c>
      <c r="J110" s="97" t="s">
        <v>517</v>
      </c>
      <c r="K110" s="181" t="s">
        <v>713</v>
      </c>
      <c r="L110" s="46">
        <v>45197</v>
      </c>
      <c r="M110" s="46">
        <v>45198</v>
      </c>
      <c r="N110" s="48" t="s">
        <v>683</v>
      </c>
      <c r="O110" s="48" t="str">
        <f>IF(Tabla3[[#This Row],[Fecha de Fin ]]&lt;&gt;"","Cerrado","")</f>
        <v>Cerrado</v>
      </c>
      <c r="P110" s="114">
        <f>IFERROR(IF(+NETWORKDAYS(L110,M110,Hoja3!A101:A141)-1&gt;=0,+NETWORKDAYS(L110,M110,Hoja3!A101:A141)-1,""),"")</f>
        <v>1</v>
      </c>
      <c r="Q110" s="176" t="str" cm="1">
        <f t="array" ref="Q110">_xlfn.IFS(Tabla3[[#This Row],[Días CGR]]&lt;=15,"A tiempo",Tabla3[[#This Row],[Días CGR]]="","",Tabla3[[#This Row],[Días CGR]]&gt;15,"En retraso")</f>
        <v>A tiempo</v>
      </c>
    </row>
    <row r="111" spans="2:19">
      <c r="B111" s="38"/>
      <c r="C111" s="56"/>
      <c r="D111" s="56"/>
      <c r="E111" s="56"/>
      <c r="F111" s="56"/>
      <c r="G111" s="56"/>
      <c r="H111" s="56"/>
      <c r="I111" s="170"/>
      <c r="J111" s="171"/>
      <c r="K111" s="171"/>
      <c r="L111" s="183"/>
      <c r="M111" s="172"/>
      <c r="N111" s="172"/>
      <c r="O111" s="173"/>
      <c r="P111" s="174"/>
      <c r="Q111" s="56"/>
    </row>
  </sheetData>
  <mergeCells count="1">
    <mergeCell ref="B1:Q6"/>
  </mergeCells>
  <conditionalFormatting sqref="G10:H111">
    <cfRule type="cellIs" dxfId="3" priority="1" operator="equal">
      <formula>"Alto"</formula>
    </cfRule>
    <cfRule type="cellIs" dxfId="2" priority="2" operator="equal">
      <formula>"Medio"</formula>
    </cfRule>
    <cfRule type="cellIs" dxfId="1" priority="4" operator="equal">
      <formula>"Bajo"</formula>
    </cfRule>
  </conditionalFormatting>
  <hyperlinks>
    <hyperlink ref="O10" r:id="rId1" display="2. Acciones Correctivas\2022\1. Enero\RESPUESTA 311-1.pdf" xr:uid="{6580A86B-9DD0-4654-A214-91BCCAD75B07}"/>
    <hyperlink ref="O12" r:id="rId2" display="2. Acciones Correctivas\2022\4. Abril\RESPUESTA 311-2.pdf" xr:uid="{7B81FB79-0505-4D36-9F36-5C5677E98059}"/>
    <hyperlink ref="O16" r:id="rId3" display="3. Quejas, Sugerencia y Reclamaciones\Linea 311\RESPUESTA 311-1.pdf" xr:uid="{718EA317-A180-4366-AFF5-89DA6546357E}"/>
    <hyperlink ref="O18" r:id="rId4" display="3. Quejas, Sugerencia y Reclamaciones\Linea 311\RESPUESTA 311-1.pdf" xr:uid="{57C366B6-8F59-4195-91CD-4481C9FA4DC0}"/>
    <hyperlink ref="O15" r:id="rId5" display="3. Quejas, Sugerencia y Reclamaciones\Linea 311\RESPUESTA 311-1.pdf" xr:uid="{C2879069-0EF2-4B36-945E-A9C2545BE4B2}"/>
    <hyperlink ref="O17" r:id="rId6" display="2. Acciones Correctivas\2022\8. Agosto\Acción Correctiva Q06.pdf" xr:uid="{21FA1B71-BA57-47B9-ABA8-0D85F7D970D8}"/>
    <hyperlink ref="O19" r:id="rId7" display="3. Quejas, Sugerencia y Reclamaciones\Linea 311\RESPUESTA 311-1.pdf" xr:uid="{6C69E7C6-4B64-4B47-9BAA-6E6E339074CB}"/>
    <hyperlink ref="O20" r:id="rId8" display="3. Quejas, Sugerencia y Reclamaciones\Linea 311\RESPUESTA 311-1.pdf" xr:uid="{77A39D89-EDE9-4455-B845-D8A307CC6678}"/>
    <hyperlink ref="O21" r:id="rId9" display="2. Acciones Correctivas\2022\8. Agosto\Q07 AC.msg" xr:uid="{EC32BB6F-E5BA-4EE3-8BFE-2E1FE4989100}"/>
    <hyperlink ref="O22" r:id="rId10" display="3. Quejas, Sugerencia y Reclamaciones\Linea 311\RESPUESTA 311-1.pdf" xr:uid="{F14391D5-2195-4DF2-A8BD-9A628180E438}"/>
    <hyperlink ref="O23" r:id="rId11" display="3. Quejas, Sugerencia y Reclamaciones\Linea 311\RESPUESTA 311-1.pdf" xr:uid="{BE4DDAB5-3B53-40A0-A455-C1BA522A320D}"/>
    <hyperlink ref="O36" r:id="rId12" display="3. Quejas, Sugerencia y Reclamaciones\Linea 311\RESPUESTA 311-1.pdf" xr:uid="{5C18FD3E-0721-4324-A149-0F02D33A7890}"/>
    <hyperlink ref="O49" r:id="rId13" display="2. Acciones Correctivas\2022\11. Noviembre\R24\Respuesta R24.msg" xr:uid="{A260A7A8-138D-4FCF-B226-6347608B8A6F}"/>
    <hyperlink ref="O63" r:id="rId14" display="3. Quejas, Sugerencia y Reclamaciones\Linea 311\RESPUESTA 311-1.pdf" xr:uid="{E68D3FB6-1DE8-4457-A0CF-54DE19A8010C}"/>
    <hyperlink ref="O76" r:id="rId15" display="3. Quejas, Sugerencia y Reclamaciones\Linea 311\RESPUESTA 311-1.pdf" xr:uid="{734ECED6-A3EA-4F5A-B7CA-C943732D7C0B}"/>
    <hyperlink ref="O24" r:id="rId16" display="3. Quejas, Sugerencia y Reclamaciones\Linea 311\RESPUESTA 311-1.pdf" xr:uid="{F17055AB-6B63-44C5-B935-73CF79E88911}"/>
    <hyperlink ref="O37" r:id="rId17" display="3. Quejas, Sugerencia y Reclamaciones\Linea 311\RESPUESTA 311-1.pdf" xr:uid="{330C4763-9269-41AD-B32E-328AEBB59D74}"/>
    <hyperlink ref="O50" r:id="rId18" display="2. Acciones Correctivas\2022\11. Noviembre\R25\Respuesta R25.msg" xr:uid="{66B87860-7325-44BC-9C6A-57DA1C30420E}"/>
    <hyperlink ref="O64" r:id="rId19" display="3. Quejas, Sugerencia y Reclamaciones\Linea 311\RESPUESTA 311-1.pdf" xr:uid="{4149C25E-F16D-4D79-A359-76B07F954D50}"/>
    <hyperlink ref="O77" r:id="rId20" display="2. Acciones Correctivas\2023\5. Mayo\Q17 y 18 AC.pdf" xr:uid="{9F15B61C-4A51-4561-A6E8-7B392494F3BF}"/>
    <hyperlink ref="O25" r:id="rId21" display="3. Quejas, Sugerencia y Reclamaciones\Linea 311\RESPUESTA 311-1.pdf" xr:uid="{C1994D24-E9A6-4B03-BF59-11B83B3E2269}"/>
    <hyperlink ref="O38" r:id="rId22" display="3. Quejas, Sugerencia y Reclamaciones\Linea 311\RESPUESTA 311-1.pdf" xr:uid="{20473B30-049E-467A-8177-8C6AE02AC499}"/>
    <hyperlink ref="O51" r:id="rId23" display="2. Acciones Correctivas\2022\12. Diciembre\R26 AC.msg" xr:uid="{F7D493C6-733F-4F71-8F4F-9FE68182D836}"/>
    <hyperlink ref="O65" r:id="rId24" display="3. Quejas, Sugerencia y Reclamaciones\Linea 311\RESPUESTA 311-1.pdf" xr:uid="{53AB0012-329F-4B77-887F-F0E720F40723}"/>
    <hyperlink ref="O78" r:id="rId25" display="3. Quejas, Sugerencia y Reclamaciones\Linea 311\RESPUESTA 311-1.pdf" xr:uid="{00523754-0657-4152-9033-908B5DB9B701}"/>
    <hyperlink ref="O27" r:id="rId26" display="3. Quejas, Sugerencia y Reclamaciones\Linea 311\RESPUESTA 311-1.pdf" xr:uid="{71C8BDFA-874E-47BF-9162-F0341178BC2D}"/>
    <hyperlink ref="O40" r:id="rId27" display="3. Quejas, Sugerencia y Reclamaciones\Linea 311\RESPUESTA 311-1.pdf" xr:uid="{DE933C4A-9233-42A7-A7A2-9EE33782DC16}"/>
    <hyperlink ref="O53" r:id="rId28" display="2. Acciones Correctivas\2022\12. Diciembre\R27 AC.msg" xr:uid="{56CA0479-1629-4A66-A700-4CB4DBB4A29F}"/>
    <hyperlink ref="O67" r:id="rId29" display="3. Quejas, Sugerencia y Reclamaciones\Linea 311\RESPUESTA 311-1.pdf" xr:uid="{14EF7369-584C-4FBF-8E1D-B0BE92E94B92}"/>
    <hyperlink ref="O82" r:id="rId30" display="2. Acciones Correctivas\2023\5. Mayo\Q17 y 18 AC.pdf" xr:uid="{7F7AA41A-0959-4519-8F71-D63F0FC38D47}"/>
    <hyperlink ref="O29" r:id="rId31" display="2. Acciones Correctivas\2022\9. Septiembre\Q10 AC.msg" xr:uid="{120BC082-8E1B-4094-8AC7-4540B46936F4}"/>
    <hyperlink ref="O42" r:id="rId32" display="3. Quejas, Sugerencia y Reclamaciones\Linea 311\RESPUESTA 311-1.pdf" xr:uid="{36F52907-2711-43CA-A330-D085A50D98E4}"/>
    <hyperlink ref="O55" r:id="rId33" display="3. Quejas, Sugerencia y Reclamaciones\Linea 311\RESPUESTA 311-1.pdf" xr:uid="{6483F407-3ACF-4238-9BC3-D85C3C6EF7FA}"/>
    <hyperlink ref="O69" r:id="rId34" display="3. Quejas, Sugerencia y Reclamaciones\Linea 311\RESPUESTA 311-1.pdf" xr:uid="{71F81C5B-E11C-4067-BA98-03AE00B7CD4E}"/>
    <hyperlink ref="O84" r:id="rId35" display="3. Quejas, Sugerencia y Reclamaciones\Linea 311\RESPUESTA 311-1.pdf" xr:uid="{D9D0AB85-E2A1-4887-94AF-34D3583A7DE9}"/>
    <hyperlink ref="O31" r:id="rId36" display="3. Quejas, Sugerencia y Reclamaciones\Linea 311\RESPUESTA 311-1.pdf" xr:uid="{46065B01-D3B9-4228-908D-B626A8CC794B}"/>
    <hyperlink ref="O44" r:id="rId37" display="2. Acciones Correctivas\2022\11. Noviembre\R19\Respuesta R19.msg" xr:uid="{1AB26C14-2CD8-4210-A991-23070C8F36AD}"/>
    <hyperlink ref="O57" r:id="rId38" display="3. Quejas, Sugerencia y Reclamaciones\Linea 311\RESPUESTA 311-1.pdf" xr:uid="{E1B11051-F777-4210-BA4B-6066D54DBF8F}"/>
    <hyperlink ref="O71" r:id="rId39" display="3. Quejas, Sugerencia y Reclamaciones\Linea 311\RESPUESTA 311-1.pdf" xr:uid="{41ED398C-00EC-4400-AB1A-1B692CF4DD1F}"/>
    <hyperlink ref="O86" r:id="rId40" display="3. Quejas, Sugerencia y Reclamaciones\Linea 311\RESPUESTA 311-1.pdf" xr:uid="{562F8A10-A823-4DA7-B885-D5C4C90DCD32}"/>
    <hyperlink ref="O26" r:id="rId41" display="3. Quejas, Sugerencia y Reclamaciones\Linea 311\RESPUESTA 311-1.pdf" xr:uid="{A7BC9778-E587-442B-91E0-F37273F89990}"/>
    <hyperlink ref="O39" r:id="rId42" display="3. Quejas, Sugerencia y Reclamaciones\Linea 311\RESPUESTA 311-1.pdf" xr:uid="{53926516-7A4A-458F-AA00-342030FAD8AC}"/>
    <hyperlink ref="O52" r:id="rId43" display="2. Acciones Correctivas\2022\12. Diciembre\Q13 AC.msg" xr:uid="{CB591F63-BCE3-4F73-A4C6-4883D0C3825D}"/>
    <hyperlink ref="O66" r:id="rId44" display="3. Quejas, Sugerencia y Reclamaciones\Linea 311\RESPUESTA 311-1.pdf" xr:uid="{B2302571-45EC-4497-98F0-2DAC9DF78474}"/>
    <hyperlink ref="O79" r:id="rId45" display="3. Quejas, Sugerencia y Reclamaciones\Linea 311\RESPUESTA 311-1.pdf" xr:uid="{531D9085-CBC0-42A8-B003-5988007318AC}"/>
    <hyperlink ref="O28" r:id="rId46" display="2. Acciones Correctivas\2022\9. Septiembre\Acción Correctiva Q09.pdf" xr:uid="{E3867F92-8EE9-4FCD-9B5F-5C06A1A1D0D1}"/>
    <hyperlink ref="O41" r:id="rId47" display="3. Quejas, Sugerencia y Reclamaciones\Linea 311\RESPUESTA 311-1.pdf" xr:uid="{005CB9AC-9D3F-41C3-A23E-6F7943D1F926}"/>
    <hyperlink ref="O54" r:id="rId48" display="3. Quejas, Sugerencia y Reclamaciones\Linea 311\RESPUESTA 311-1.pdf" xr:uid="{8AB60C72-A993-49B8-AA13-B9BCCEBA7853}"/>
    <hyperlink ref="O68" r:id="rId49" display="3. Quejas, Sugerencia y Reclamaciones\Linea 311\RESPUESTA 311-1.pdf" xr:uid="{9487CCDA-29B6-4539-AF32-A0BEF1501704}"/>
    <hyperlink ref="O83" r:id="rId50" display="3. Quejas, Sugerencia y Reclamaciones\Linea 311\RESPUESTA 311-1.pdf" xr:uid="{8218370B-CCCC-49DB-8A9F-F93B3901E2F7}"/>
    <hyperlink ref="O30" r:id="rId51" display="3. Quejas, Sugerencia y Reclamaciones\Linea 311\RESPUESTA 311-1.pdf" xr:uid="{4ACD1B8F-A51F-4789-8CFF-34FD84259B17}"/>
    <hyperlink ref="O43" r:id="rId52" display="2. Acciones Correctivas\2022\10. Octubre\Q12 AC.msg" xr:uid="{5933980A-9973-4385-9C04-3D130290CF23}"/>
    <hyperlink ref="O56" r:id="rId53" display="3. Quejas, Sugerencia y Reclamaciones\Linea 311\RESPUESTA 311-1.pdf" xr:uid="{7F9BC334-18C9-443A-803A-2A451971507C}"/>
    <hyperlink ref="O70" r:id="rId54" display="3. Quejas, Sugerencia y Reclamaciones\Linea 311\RESPUESTA 311-1.pdf" xr:uid="{A263C5F9-8B2C-4FB9-824B-02D2A7C2C2A0}"/>
    <hyperlink ref="O85" r:id="rId55" display="3. Quejas, Sugerencia y Reclamaciones\Linea 311\RESPUESTA 311-1.pdf" xr:uid="{B55A396F-C917-4304-A36C-61EEBCFDE030}"/>
    <hyperlink ref="O32" r:id="rId56" display="3. Quejas, Sugerencia y Reclamaciones\Linea 311\RESPUESTA 311-1.pdf" xr:uid="{E94288F6-E646-4197-9996-E949C6A86E69}"/>
    <hyperlink ref="O45" r:id="rId57" display="3. Quejas, Sugerencia y Reclamaciones\Linea 311\RESPUESTA 311-1.pdf" xr:uid="{440E8B37-E88D-44FA-845B-9E7511AD7535}"/>
    <hyperlink ref="O58" r:id="rId58" display="3. Quejas, Sugerencia y Reclamaciones\Linea 311\RESPUESTA 311-1.pdf" xr:uid="{8A66BED2-16CF-488A-9271-2EE963CCEE8E}"/>
    <hyperlink ref="O72" r:id="rId59" display="3. Quejas, Sugerencia y Reclamaciones\Linea 311\RESPUESTA 311-1.pdf" xr:uid="{0639FFE1-CB4A-472E-84F7-A5AAED079087}"/>
    <hyperlink ref="O87" r:id="rId60" display="2. Acciones Correctivas\2023\5. Mayo\R50 AC.msg" xr:uid="{EF261F94-D5F4-4E41-B4AD-03E19B322FDB}"/>
    <hyperlink ref="O33" r:id="rId61" display="2. Acciones Correctivas\2022\10. Octubre\Q11\Respuesta  Q11.msg" xr:uid="{69345AFE-1318-44B0-8FDE-EFC93BB89B34}"/>
    <hyperlink ref="O46" r:id="rId62" display="2. Acciones Correctivas\2022\11. Noviembre\R21\Respuesta R21.msg" xr:uid="{0D82D104-1E8A-4D8F-9A80-4A6A96A0B3A6}"/>
    <hyperlink ref="O60" r:id="rId63" display="3. Quejas, Sugerencia y Reclamaciones\Linea 311\RESPUESTA 311-1.pdf" xr:uid="{84AB22D0-2F98-4B7D-B1BC-DE5CDF76B184}"/>
    <hyperlink ref="O73" r:id="rId64" display="3. Quejas, Sugerencia y Reclamaciones\Linea 311\RESPUESTA 311-1.pdf" xr:uid="{6F1D8393-BC46-4AFF-8E71-DE52E188D6BB}"/>
    <hyperlink ref="O34" r:id="rId65" display="3. Quejas, Sugerencia y Reclamaciones\Linea 311\RESPUESTA 311-1.pdf" xr:uid="{CC437BC2-8B0E-4258-9261-CEEAA7CA2237}"/>
    <hyperlink ref="O47" r:id="rId66" display="2. Acciones Correctivas\2022\11. Noviembre\R22\Respuesta R22.msg" xr:uid="{6D216CB4-7F32-4A3C-ADE0-2060C1455244}"/>
    <hyperlink ref="O61" r:id="rId67" display="3. Quejas, Sugerencia y Reclamaciones\Linea 311\RESPUESTA 311-1.pdf" xr:uid="{2B9B34B4-B46D-490D-8B24-B16991B1034E}"/>
    <hyperlink ref="O74" r:id="rId68" display="3. Quejas, Sugerencia y Reclamaciones\Linea 311\RESPUESTA 311-1.pdf" xr:uid="{C4FF6A96-8C77-480C-B060-DBF6E38FF7A6}"/>
    <hyperlink ref="O35" r:id="rId69" display="3. Quejas, Sugerencia y Reclamaciones\Linea 311\RESPUESTA 311-1.pdf" xr:uid="{2E0F7839-05DE-4F80-B391-EA20432C391B}"/>
    <hyperlink ref="O48" r:id="rId70" display="3. Quejas, Sugerencia y Reclamaciones\Linea 311\RESPUESTA 311-1.pdf" xr:uid="{6AB3A667-5C82-4441-803E-F25C6AB2BDE5}"/>
    <hyperlink ref="O62" r:id="rId71" display="3. Quejas, Sugerencia y Reclamaciones\Linea 311\RESPUESTA 311-1.pdf" xr:uid="{315786B7-FD4A-4BBB-9A43-D1F3EDE54136}"/>
    <hyperlink ref="O75" r:id="rId72" display="3. Quejas, Sugerencia y Reclamaciones\Linea 311\RESPUESTA 311-1.pdf" xr:uid="{ECEDB4FE-8D62-4878-996B-80A1C59436C7}"/>
    <hyperlink ref="O88" r:id="rId73" display="2. Acciones Correctivas\2023\6. Junio\R51.msg" xr:uid="{D5D999A0-0043-41A9-90EC-9E532597E432}"/>
    <hyperlink ref="O92" r:id="rId74" display="2. Acciones Correctivas\2023\7. Julio\AC - R54.msg" xr:uid="{178A4AE3-AD0D-4B19-9B66-31D6A0B75DC4}"/>
    <hyperlink ref="O91" r:id="rId75" display="2. Acciones Correctivas\2023\7. Julio\AC - R53.msg" xr:uid="{5125B831-A7A1-42D0-A45D-987BA0C6C3C6}"/>
    <hyperlink ref="O89" r:id="rId76" display="2. Acciones Correctivas\2023\7. Julio\AC - R52.msg" xr:uid="{8AA848C8-AF29-45B8-883B-399E32EE9DEB}"/>
    <hyperlink ref="O90" r:id="rId77" display="2. Acciones Correctivas\2023\7. Julio\AC - Q20.pdf" xr:uid="{5A833443-D58F-49EC-A425-26B478F7B3CF}"/>
    <hyperlink ref="O93" r:id="rId78" display="2. Acciones Correctivas\2023\7. Julio\AC - R54.msg" xr:uid="{34B65E9E-C540-4C27-924B-2516914EC09A}"/>
    <hyperlink ref="O94" r:id="rId79" display="2. Acciones Correctivas\2023\7. Julio\AC - R54.msg" xr:uid="{BCC2EB4A-3E2E-4DD5-97F1-DFA6D6C75C96}"/>
    <hyperlink ref="O95" r:id="rId80" display="2. Acciones Correctivas\2023\7. Julio\AC - R54.msg" xr:uid="{9FBAB6DD-8178-4145-8B01-5CE5D113496F}"/>
    <hyperlink ref="O96" r:id="rId81" display="2. Acciones Correctivas\2023\7. Julio\AC - R54.msg" xr:uid="{8090B057-7BC8-4BEB-AF6A-F6248373072D}"/>
    <hyperlink ref="O97" r:id="rId82" display="2. Acciones Correctivas\2023\7. Julio\AC - R54.msg" xr:uid="{ED9B2202-F657-474B-8945-45EEA689FB66}"/>
    <hyperlink ref="O98" r:id="rId83" display="2. Acciones Correctivas\2023\7. Julio\AC - R54.msg" xr:uid="{8648FBD8-368D-4D14-8D03-B4555600FA58}"/>
    <hyperlink ref="O99" r:id="rId84" display="2. Acciones Correctivas\2023\7. Julio\AC - R54.msg" xr:uid="{58725D3C-CCBC-4877-835A-7F8591F2CA49}"/>
    <hyperlink ref="O101" r:id="rId85" display="2. Acciones Correctivas\2023\7. Julio\AC - R54.msg" xr:uid="{F37580B7-9EB0-4523-8812-3C3988E43452}"/>
    <hyperlink ref="O100" r:id="rId86" display="2. Acciones Correctivas\2023\7. Julio\AC - R54.msg" xr:uid="{C6A5B8F8-0920-4433-91B7-62B35B05E210}"/>
    <hyperlink ref="O104" r:id="rId87" display="2. Acciones Correctivas\2023\7. Julio\AC - R54.msg" xr:uid="{7D7CC966-E180-4778-B543-1823ABC01559}"/>
    <hyperlink ref="O107" r:id="rId88" display="2. Acciones Correctivas\2023\9. Septiembre\AC-R67.msg" xr:uid="{762FCF70-923B-4960-B17D-6513E2DEE4EE}"/>
    <hyperlink ref="O106" r:id="rId89" display="2. Acciones Correctivas\2023\9. Septiembre\R66.msg" xr:uid="{14BB81C8-9B7A-4D4F-BA8E-0DB8DD71C9D2}"/>
    <hyperlink ref="O103:O104" r:id="rId90" display="2. Acciones Correctivas\2023\9. Septiembre\R64 y R65.msg" xr:uid="{BBC94719-2C81-4A51-A4FC-C581F732EBA8}"/>
    <hyperlink ref="O109" r:id="rId91" display="2. Acciones Correctivas\2023\9. Septiembre\AC - S05.msg" xr:uid="{B168C9FC-C172-4B49-930C-C822D2E68028}"/>
    <hyperlink ref="O108" r:id="rId92" display="2. Acciones Correctivas\2023\9. Septiembre\AC - R68.msg" xr:uid="{6099D1E5-CBAA-4B59-8A3A-94D01F257CF2}"/>
    <hyperlink ref="O102" r:id="rId93" display="2. Acciones Correctivas\2023\9. Septiembre\AC - Q21.pdf" xr:uid="{CCE94707-6FE2-45E8-AFB9-B1ECFA43BDC3}"/>
  </hyperlinks>
  <pageMargins left="0.7" right="0.7" top="0.75" bottom="0.75" header="0.3" footer="0.3"/>
  <pageSetup orientation="portrait" r:id="rId94"/>
  <ignoredErrors>
    <ignoredError sqref="O13:O14 O11" calculatedColumn="1"/>
  </ignoredErrors>
  <drawing r:id="rId95"/>
  <tableParts count="1">
    <tablePart r:id="rId9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C269-1542-41CA-BA06-928472151297}">
  <sheetPr codeName="Hoja6"/>
  <dimension ref="A1:F24"/>
  <sheetViews>
    <sheetView workbookViewId="0">
      <selection activeCell="H11" sqref="H11"/>
    </sheetView>
  </sheetViews>
  <sheetFormatPr baseColWidth="10" defaultRowHeight="14.4"/>
  <cols>
    <col min="1" max="1" width="24.109375" bestFit="1" customWidth="1"/>
    <col min="2" max="2" width="16.6640625" bestFit="1" customWidth="1"/>
    <col min="3" max="3" width="11.33203125" bestFit="1" customWidth="1"/>
    <col min="4" max="4" width="18.5546875" bestFit="1" customWidth="1"/>
    <col min="5" max="5" width="9" bestFit="1" customWidth="1"/>
    <col min="6" max="6" width="25.6640625" bestFit="1" customWidth="1"/>
  </cols>
  <sheetData>
    <row r="1" spans="1:6">
      <c r="A1" s="129" t="s">
        <v>576</v>
      </c>
      <c r="B1" t="s" vm="2">
        <v>600</v>
      </c>
    </row>
    <row r="2" spans="1:6">
      <c r="A2" s="129" t="s">
        <v>549</v>
      </c>
      <c r="B2" t="s" vm="1">
        <v>555</v>
      </c>
    </row>
    <row r="4" spans="1:6">
      <c r="A4" s="129" t="s">
        <v>551</v>
      </c>
      <c r="B4" s="129" t="s">
        <v>556</v>
      </c>
      <c r="C4" s="129" t="s">
        <v>381</v>
      </c>
      <c r="D4" s="129" t="s">
        <v>175</v>
      </c>
      <c r="E4" s="129" t="s">
        <v>170</v>
      </c>
      <c r="F4" t="s">
        <v>554</v>
      </c>
    </row>
    <row r="5" spans="1:6">
      <c r="A5" s="60" t="s">
        <v>39</v>
      </c>
      <c r="B5" s="60" t="s">
        <v>552</v>
      </c>
      <c r="C5" s="60" t="s">
        <v>621</v>
      </c>
      <c r="D5" s="60" t="s">
        <v>176</v>
      </c>
      <c r="E5" s="60" t="s">
        <v>276</v>
      </c>
      <c r="F5">
        <v>1</v>
      </c>
    </row>
    <row r="6" spans="1:6">
      <c r="A6" s="60" t="s">
        <v>39</v>
      </c>
      <c r="B6" s="60" t="s">
        <v>552</v>
      </c>
      <c r="C6" s="60" t="s">
        <v>383</v>
      </c>
      <c r="D6" s="60" t="s">
        <v>176</v>
      </c>
      <c r="E6" s="60" t="s">
        <v>276</v>
      </c>
      <c r="F6">
        <v>6</v>
      </c>
    </row>
    <row r="7" spans="1:6">
      <c r="A7" s="60" t="s">
        <v>39</v>
      </c>
      <c r="B7" s="60" t="s">
        <v>552</v>
      </c>
      <c r="C7" s="60" t="s">
        <v>383</v>
      </c>
      <c r="D7" s="60" t="s">
        <v>177</v>
      </c>
      <c r="E7" s="60" t="s">
        <v>276</v>
      </c>
      <c r="F7">
        <v>1</v>
      </c>
    </row>
    <row r="8" spans="1:6">
      <c r="A8" s="60" t="s">
        <v>39</v>
      </c>
      <c r="B8" s="60" t="s">
        <v>552</v>
      </c>
      <c r="C8" s="60" t="s">
        <v>382</v>
      </c>
      <c r="D8" s="60" t="s">
        <v>176</v>
      </c>
      <c r="E8" s="60" t="s">
        <v>276</v>
      </c>
      <c r="F8">
        <v>2</v>
      </c>
    </row>
    <row r="9" spans="1:6">
      <c r="A9" s="60" t="s">
        <v>39</v>
      </c>
      <c r="B9" s="60" t="s">
        <v>552</v>
      </c>
      <c r="C9" s="60" t="s">
        <v>382</v>
      </c>
      <c r="D9" s="60" t="s">
        <v>177</v>
      </c>
      <c r="E9" s="60" t="s">
        <v>276</v>
      </c>
      <c r="F9">
        <v>2</v>
      </c>
    </row>
    <row r="10" spans="1:6">
      <c r="A10" s="60" t="s">
        <v>529</v>
      </c>
      <c r="F10">
        <v>12</v>
      </c>
    </row>
    <row r="17" spans="1:4">
      <c r="B17" t="s">
        <v>24</v>
      </c>
      <c r="C17" t="s">
        <v>552</v>
      </c>
      <c r="D17" s="32" t="s">
        <v>553</v>
      </c>
    </row>
    <row r="18" spans="1:4">
      <c r="A18" s="158" t="s">
        <v>569</v>
      </c>
      <c r="B18">
        <f>SUMIFS(F5:F13,$B$5:$B$13,$B$17,$A$5:$A$13,A18)</f>
        <v>0</v>
      </c>
      <c r="C18">
        <f>SUMIFS($F$5:$F$13,$B$5:$B$13,$C$17,$A$5:$A$13,A18)</f>
        <v>0</v>
      </c>
      <c r="D18">
        <f>SUMIFS($F$5:$F$13,$B$5:$B$13,$D$17,$A$5:$A$13,A18)</f>
        <v>0</v>
      </c>
    </row>
    <row r="19" spans="1:4">
      <c r="A19" s="159" t="s">
        <v>39</v>
      </c>
      <c r="B19">
        <f>SUMIFS(F5:F13,$B$5:$B$13,$B$17,$A$5:$A$13,A19)</f>
        <v>0</v>
      </c>
      <c r="C19">
        <f t="shared" ref="C19:C24" si="0">SUMIFS($F$5:$F$13,$B$5:$B$13,$C$17,$A$5:$A$13,A19)</f>
        <v>12</v>
      </c>
      <c r="D19">
        <f t="shared" ref="D19:D24" si="1">SUMIFS($F$5:$F$13,$B$5:$B$13,$D$17,$A$5:$A$13,A19)</f>
        <v>0</v>
      </c>
    </row>
    <row r="20" spans="1:4">
      <c r="A20" s="158" t="s">
        <v>474</v>
      </c>
      <c r="B20">
        <f>SUMIFS(F5:F13,$B$5:$B$13,$B$17,$A$5:$A$13,A20)</f>
        <v>0</v>
      </c>
      <c r="C20">
        <f t="shared" si="0"/>
        <v>0</v>
      </c>
      <c r="D20">
        <f t="shared" si="1"/>
        <v>0</v>
      </c>
    </row>
    <row r="21" spans="1:4">
      <c r="A21" s="158" t="s">
        <v>449</v>
      </c>
      <c r="B21">
        <f>SUMIFS(F5:F13,$B$5:$B$13,$B$17,$A$5:$A$13,A21)</f>
        <v>0</v>
      </c>
      <c r="C21">
        <f t="shared" si="0"/>
        <v>0</v>
      </c>
      <c r="D21">
        <f t="shared" si="1"/>
        <v>0</v>
      </c>
    </row>
    <row r="22" spans="1:4">
      <c r="A22" s="158" t="s">
        <v>338</v>
      </c>
      <c r="B22">
        <f>SUMIFS(F5:F13,$B$5:$B$13,$B$17,$A$5:$A$13,A22)</f>
        <v>0</v>
      </c>
      <c r="C22">
        <f>SUMIFS($F$5:$F$14,$B$5:$B$14,$C$17,$A$5:$A$14,A22)</f>
        <v>0</v>
      </c>
      <c r="D22">
        <f t="shared" si="1"/>
        <v>0</v>
      </c>
    </row>
    <row r="23" spans="1:4">
      <c r="A23" s="158" t="s">
        <v>472</v>
      </c>
      <c r="B23">
        <f>SUMIFS(F5:F13,$B$5:$B$13,$B$17,$A$5:$A$13,A23)</f>
        <v>0</v>
      </c>
      <c r="C23">
        <f>SUMIFS($F$5:$F$14,$B$5:$B$14,$C$17,$A$5:$A$14,A23)</f>
        <v>0</v>
      </c>
      <c r="D23">
        <f t="shared" si="1"/>
        <v>0</v>
      </c>
    </row>
    <row r="24" spans="1:4">
      <c r="A24" s="159" t="s">
        <v>79</v>
      </c>
      <c r="B24">
        <f>SUMIFS(F5:F14,$B$5:$B$14,$B$17,$A$5:$A$14,A24)</f>
        <v>0</v>
      </c>
      <c r="C24">
        <f t="shared" si="0"/>
        <v>0</v>
      </c>
      <c r="D24">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2AB7-2727-47F8-BEB0-384201EE79AA}">
  <sheetPr codeName="Hoja7"/>
  <dimension ref="A1:F27"/>
  <sheetViews>
    <sheetView zoomScale="70" zoomScaleNormal="70" workbookViewId="0">
      <selection activeCell="E34" sqref="E34"/>
    </sheetView>
  </sheetViews>
  <sheetFormatPr baseColWidth="10" defaultRowHeight="14.4"/>
  <cols>
    <col min="1" max="1" width="25" bestFit="1" customWidth="1"/>
    <col min="2" max="2" width="21.44140625" bestFit="1" customWidth="1"/>
    <col min="3" max="3" width="12.109375" bestFit="1" customWidth="1"/>
    <col min="4" max="4" width="10.6640625" bestFit="1" customWidth="1"/>
    <col min="5" max="6" width="11.88671875" bestFit="1" customWidth="1"/>
  </cols>
  <sheetData>
    <row r="1" spans="1:6">
      <c r="A1" s="146" t="s">
        <v>557</v>
      </c>
      <c r="B1" s="147" t="s">
        <v>558</v>
      </c>
      <c r="C1" s="148" t="s">
        <v>560</v>
      </c>
    </row>
    <row r="2" spans="1:6">
      <c r="A2" s="123" t="s">
        <v>24</v>
      </c>
      <c r="B2" s="121">
        <f>SUMIF('Resumen Trimestral'!B:B,A2,'Resumen Trimestral'!F:F)</f>
        <v>0</v>
      </c>
      <c r="C2" s="140">
        <f>IFERROR(Tabla4[[#This Row],[Cantidad]]/$B$5,0)</f>
        <v>0</v>
      </c>
    </row>
    <row r="3" spans="1:6">
      <c r="A3" s="123" t="s">
        <v>552</v>
      </c>
      <c r="B3" s="121">
        <f>SUMIF('Resumen Trimestral'!B:B,A3,'Resumen Trimestral'!F:F)</f>
        <v>12</v>
      </c>
      <c r="C3" s="140">
        <f>IFERROR(Tabla4[[#This Row],[Cantidad]]/$B$5,0)</f>
        <v>1</v>
      </c>
    </row>
    <row r="4" spans="1:6">
      <c r="A4" s="123" t="s">
        <v>553</v>
      </c>
      <c r="B4" s="139">
        <f>SUMIF('Resumen Trimestral'!B:B,A4,'Resumen Trimestral'!F:F)</f>
        <v>0</v>
      </c>
      <c r="C4" s="140">
        <f>IFERROR(Tabla4[[#This Row],[Cantidad]]/$B$5,0)</f>
        <v>0</v>
      </c>
    </row>
    <row r="5" spans="1:6">
      <c r="A5" s="123" t="s">
        <v>559</v>
      </c>
      <c r="B5" s="214">
        <f>SUM(Tabla4[Cantidad])</f>
        <v>12</v>
      </c>
      <c r="C5" s="214"/>
    </row>
    <row r="6" spans="1:6">
      <c r="A6" s="136"/>
      <c r="B6" s="137"/>
    </row>
    <row r="7" spans="1:6">
      <c r="A7" s="149" t="s">
        <v>381</v>
      </c>
      <c r="B7" s="150" t="s">
        <v>24</v>
      </c>
      <c r="C7" s="151" t="s">
        <v>552</v>
      </c>
      <c r="D7" s="152" t="s">
        <v>553</v>
      </c>
      <c r="E7" s="147" t="s">
        <v>559</v>
      </c>
      <c r="F7" s="153" t="s">
        <v>560</v>
      </c>
    </row>
    <row r="8" spans="1:6">
      <c r="A8" s="123" t="s">
        <v>382</v>
      </c>
      <c r="B8" s="120">
        <f>SUMIFS('Resumen Trimestral'!F:F,'Resumen Trimestral'!B:B,Tabla5[[#Headers],[Queja]],'Resumen Trimestral'!C:C,'Reporte Interno'!A8)</f>
        <v>0</v>
      </c>
      <c r="C8" s="120">
        <f>SUMIFS('Resumen Trimestral'!F:F,'Resumen Trimestral'!B:B,Tabla5[[#Headers],[Reclamación]],'Resumen Trimestral'!C:C,'Reporte Interno'!A8)</f>
        <v>4</v>
      </c>
      <c r="D8" s="135">
        <f>SUMIFS('Resumen Trimestral'!F:F,'Resumen Trimestral'!B:B,Tabla5[[#Headers],[Sugerencia]],'Resumen Trimestral'!C:C,'Reporte Interno'!A8)</f>
        <v>0</v>
      </c>
      <c r="E8" s="123">
        <f>SUM(Tabla5[[#This Row],[Queja]:[Sugerencia]])</f>
        <v>4</v>
      </c>
      <c r="F8" s="140">
        <f>IFERROR(Tabla5[[#This Row],[Total]]/$B$5,0)</f>
        <v>0.33333333333333331</v>
      </c>
    </row>
    <row r="9" spans="1:6">
      <c r="A9" s="123" t="s">
        <v>383</v>
      </c>
      <c r="B9" s="120">
        <f>SUMIFS('Resumen Trimestral'!F:F,'Resumen Trimestral'!B:B,Tabla5[[#Headers],[Queja]],'Resumen Trimestral'!C:C,'Reporte Interno'!A9)</f>
        <v>0</v>
      </c>
      <c r="C9" s="123">
        <f>SUMIFS('Resumen Trimestral'!F:F,'Resumen Trimestral'!B:B,Tabla5[[#Headers],[Reclamación]],'Resumen Trimestral'!C:C,'Reporte Interno'!A9)</f>
        <v>7</v>
      </c>
      <c r="D9" s="131">
        <f>SUMIFS('Resumen Trimestral'!F:F,'Resumen Trimestral'!B:B,Tabla5[[#Headers],[Sugerencia]],'Resumen Trimestral'!C:C,'Reporte Interno'!A9)</f>
        <v>0</v>
      </c>
      <c r="E9" s="123">
        <f>SUM(Tabla5[[#This Row],[Queja]:[Sugerencia]])</f>
        <v>7</v>
      </c>
      <c r="F9" s="140">
        <f>IFERROR(Tabla5[[#This Row],[Total]]/$B$5,0)</f>
        <v>0.58333333333333337</v>
      </c>
    </row>
    <row r="10" spans="1:6">
      <c r="A10" s="123" t="s">
        <v>79</v>
      </c>
      <c r="B10" s="132">
        <f>SUMIFS('Resumen Trimestral'!F:F,'Resumen Trimestral'!B:B,Tabla5[[#Headers],[Queja]],'Resumen Trimestral'!C:C,'Reporte Interno'!A10)</f>
        <v>0</v>
      </c>
      <c r="C10" s="133">
        <f>SUMIFS('Resumen Trimestral'!F:F,'Resumen Trimestral'!B:B,Tabla5[[#Headers],[Reclamación]],'Resumen Trimestral'!C:C,'Reporte Interno'!A10)</f>
        <v>0</v>
      </c>
      <c r="D10" s="134">
        <f>SUMIFS('Resumen Trimestral'!F:F,'Resumen Trimestral'!B:B,Tabla5[[#Headers],[Sugerencia]],'Resumen Trimestral'!C:C,'Reporte Interno'!A10)</f>
        <v>0</v>
      </c>
      <c r="E10" s="123">
        <f>SUM(Tabla5[[#This Row],[Queja]:[Sugerencia]])</f>
        <v>0</v>
      </c>
      <c r="F10" s="140">
        <f>IFERROR(Tabla5[[#This Row],[Total]]/$B$5,0)</f>
        <v>0</v>
      </c>
    </row>
    <row r="12" spans="1:6">
      <c r="A12" s="154" t="s">
        <v>175</v>
      </c>
      <c r="B12" s="155" t="s">
        <v>24</v>
      </c>
      <c r="C12" s="149" t="s">
        <v>552</v>
      </c>
      <c r="D12" s="155" t="s">
        <v>553</v>
      </c>
      <c r="E12" s="155" t="s">
        <v>559</v>
      </c>
      <c r="F12" s="156" t="s">
        <v>560</v>
      </c>
    </row>
    <row r="13" spans="1:6">
      <c r="A13" s="120" t="s">
        <v>176</v>
      </c>
      <c r="B13" s="123">
        <f>SUMIFS('Resumen Trimestral'!F:F,'Resumen Trimestral'!B:B,Tabla7[[#Headers],[Queja]],'Resumen Trimestral'!D:D,'Reporte Interno'!A13)</f>
        <v>0</v>
      </c>
      <c r="C13" s="123">
        <f>SUMIFS('Resumen Trimestral'!F:F,'Resumen Trimestral'!B:B,Tabla7[[#Headers],[Reclamación]],'Resumen Trimestral'!D:D,'Reporte Interno'!A13)</f>
        <v>9</v>
      </c>
      <c r="D13" s="123">
        <f>SUMIFS('Resumen Trimestral'!F:F,'Resumen Trimestral'!B:B,Tabla7[[#Headers],[Sugerencia]],'Resumen Trimestral'!D:D,'Reporte Interno'!A13)</f>
        <v>0</v>
      </c>
      <c r="E13" s="123">
        <f>SUM(Tabla7[[#This Row],[Queja]:[Sugerencia]])</f>
        <v>9</v>
      </c>
      <c r="F13" s="141">
        <f>IFERROR(Tabla7[[#This Row],[Total]]/$B$5,0)</f>
        <v>0.75</v>
      </c>
    </row>
    <row r="14" spans="1:6">
      <c r="A14" s="120" t="s">
        <v>174</v>
      </c>
      <c r="B14" s="123">
        <f>SUMIFS('Resumen Trimestral'!F:F,'Resumen Trimestral'!B:B,Tabla7[[#Headers],[Queja]],'Resumen Trimestral'!D:D,'Reporte Interno'!A14)</f>
        <v>0</v>
      </c>
      <c r="C14" s="123">
        <f>SUMIFS('Resumen Trimestral'!F:F,'Resumen Trimestral'!B:B,Tabla7[[#Headers],[Reclamación]],'Resumen Trimestral'!D:D,'Reporte Interno'!A14)</f>
        <v>0</v>
      </c>
      <c r="D14" s="123">
        <f>SUMIFS('Resumen Trimestral'!F:F,'Resumen Trimestral'!B:B,Tabla7[[#Headers],[Sugerencia]],'Resumen Trimestral'!D:D,'Reporte Interno'!A14)</f>
        <v>0</v>
      </c>
      <c r="E14" s="123">
        <f>SUM(Tabla7[[#This Row],[Queja]:[Sugerencia]])</f>
        <v>0</v>
      </c>
      <c r="F14" s="141">
        <f>IFERROR(Tabla7[[#This Row],[Total]]/$B$5,0)</f>
        <v>0</v>
      </c>
    </row>
    <row r="15" spans="1:6">
      <c r="A15" s="120" t="s">
        <v>177</v>
      </c>
      <c r="B15" s="123">
        <f>SUMIFS('Resumen Trimestral'!F:F,'Resumen Trimestral'!B:B,Tabla7[[#Headers],[Queja]],'Resumen Trimestral'!D:D,'Reporte Interno'!A15)</f>
        <v>0</v>
      </c>
      <c r="C15" s="123">
        <f>SUMIFS('Resumen Trimestral'!F:F,'Resumen Trimestral'!B:B,Tabla7[[#Headers],[Reclamación]],'Resumen Trimestral'!D:D,'Reporte Interno'!A15)</f>
        <v>3</v>
      </c>
      <c r="D15" s="123">
        <f>SUMIFS('Resumen Trimestral'!F:F,'Resumen Trimestral'!B:B,Tabla7[[#Headers],[Sugerencia]],'Resumen Trimestral'!D:D,'Reporte Interno'!A15)</f>
        <v>0</v>
      </c>
      <c r="E15" s="123">
        <f>SUM(Tabla7[[#This Row],[Queja]:[Sugerencia]])</f>
        <v>3</v>
      </c>
      <c r="F15" s="141">
        <f>IFERROR(Tabla7[[#This Row],[Total]]/$B$5,0)</f>
        <v>0.25</v>
      </c>
    </row>
    <row r="16" spans="1:6">
      <c r="A16" s="120" t="s">
        <v>179</v>
      </c>
      <c r="B16" s="123">
        <f>SUMIFS('Resumen Trimestral'!F:F,'Resumen Trimestral'!B:B,Tabla7[[#Headers],[Queja]],'Resumen Trimestral'!D:D,'Reporte Interno'!A16)</f>
        <v>0</v>
      </c>
      <c r="C16" s="123">
        <f>SUMIFS('Resumen Trimestral'!F:F,'Resumen Trimestral'!B:B,Tabla7[[#Headers],[Reclamación]],'Resumen Trimestral'!D:D,'Reporte Interno'!A16)</f>
        <v>0</v>
      </c>
      <c r="D16" s="123">
        <f>SUMIFS('Resumen Trimestral'!F:F,'Resumen Trimestral'!B:B,Tabla7[[#Headers],[Sugerencia]],'Resumen Trimestral'!D:D,'Reporte Interno'!A16)</f>
        <v>0</v>
      </c>
      <c r="E16" s="123">
        <f>SUM(Tabla7[[#This Row],[Queja]:[Sugerencia]])</f>
        <v>0</v>
      </c>
      <c r="F16" s="142">
        <f>IFERROR(Tabla7[[#This Row],[Total]]/$B$5,0)</f>
        <v>0</v>
      </c>
    </row>
    <row r="18" spans="1:6">
      <c r="A18" s="154" t="s">
        <v>170</v>
      </c>
      <c r="B18" s="155" t="s">
        <v>24</v>
      </c>
      <c r="C18" s="149" t="s">
        <v>552</v>
      </c>
      <c r="D18" s="155" t="s">
        <v>553</v>
      </c>
      <c r="E18" s="155" t="s">
        <v>559</v>
      </c>
      <c r="F18" s="156" t="s">
        <v>560</v>
      </c>
    </row>
    <row r="19" spans="1:6">
      <c r="A19" s="120" t="s">
        <v>276</v>
      </c>
      <c r="B19" s="123">
        <f>SUMIFS('Resumen Trimestral'!F:F,'Resumen Trimestral'!B:B,Tabla8[[#Headers],[Queja]],'Resumen Trimestral'!E:E,Tabla8[[#This Row],[Cliente]])</f>
        <v>0</v>
      </c>
      <c r="C19" s="123">
        <f>SUMIFS('Resumen Trimestral'!F:F,'Resumen Trimestral'!B:B,Tabla8[[#Headers],[Reclamación]],'Resumen Trimestral'!E:E,Tabla8[[#This Row],[Cliente]])</f>
        <v>12</v>
      </c>
      <c r="D19" s="123">
        <f>SUMIFS('Resumen Trimestral'!F:F,'Resumen Trimestral'!B:B,Tabla8[[#Headers],[Sugerencia]],'Resumen Trimestral'!E:E,Tabla8[[#This Row],[Cliente]])</f>
        <v>0</v>
      </c>
      <c r="E19" s="123">
        <f>SUM(Tabla8[[#This Row],[Queja]:[Sugerencia]])</f>
        <v>12</v>
      </c>
      <c r="F19" s="141">
        <f>IFERROR(Tabla8[[#This Row],[Total]]/$B$5,0)</f>
        <v>1</v>
      </c>
    </row>
    <row r="20" spans="1:6">
      <c r="A20" s="132" t="s">
        <v>172</v>
      </c>
      <c r="B20" s="133">
        <f>SUMIFS('Resumen Trimestral'!F:F,'Resumen Trimestral'!B:B,Tabla8[[#Headers],[Queja]],'Resumen Trimestral'!E:E,Tabla8[[#This Row],[Cliente]])</f>
        <v>0</v>
      </c>
      <c r="C20" s="133">
        <f>SUMIFS('Resumen Trimestral'!F:F,'Resumen Trimestral'!B:B,Tabla8[[#Headers],[Reclamación]],'Resumen Trimestral'!E:E,Tabla8[[#This Row],[Cliente]])</f>
        <v>0</v>
      </c>
      <c r="D20" s="133">
        <f>SUMIFS('Resumen Trimestral'!F:F,'Resumen Trimestral'!B:B,Tabla8[[#Headers],[Sugerencia]],'Resumen Trimestral'!E:E,Tabla8[[#This Row],[Cliente]])</f>
        <v>0</v>
      </c>
      <c r="E20" s="133">
        <f>SUM(Tabla8[[#This Row],[Queja]:[Sugerencia]])</f>
        <v>0</v>
      </c>
      <c r="F20" s="143">
        <f>IFERROR(Tabla8[[#This Row],[Total]]/$B$5,0)</f>
        <v>0</v>
      </c>
    </row>
    <row r="21" spans="1:6">
      <c r="A21" s="138"/>
      <c r="B21" s="138"/>
      <c r="C21" s="138"/>
      <c r="D21" s="138"/>
      <c r="E21" s="138"/>
      <c r="F21" s="145"/>
    </row>
    <row r="23" spans="1:6">
      <c r="A23" s="166" t="s">
        <v>549</v>
      </c>
      <c r="B23" s="167">
        <v>2023</v>
      </c>
    </row>
    <row r="25" spans="1:6">
      <c r="A25" s="157"/>
      <c r="B25" s="157" t="s">
        <v>561</v>
      </c>
      <c r="C25" s="157"/>
      <c r="D25" s="157"/>
      <c r="E25" s="157"/>
    </row>
    <row r="26" spans="1:6">
      <c r="A26" s="157"/>
      <c r="B26" s="157" t="s">
        <v>24</v>
      </c>
      <c r="C26" s="157" t="s">
        <v>25</v>
      </c>
      <c r="D26" s="157" t="s">
        <v>26</v>
      </c>
      <c r="E26" s="157" t="s">
        <v>529</v>
      </c>
    </row>
    <row r="27" spans="1:6">
      <c r="A27" s="39" t="s">
        <v>562</v>
      </c>
      <c r="B27" s="39">
        <v>4</v>
      </c>
      <c r="C27" s="39">
        <v>23</v>
      </c>
      <c r="D27" s="39">
        <v>5</v>
      </c>
      <c r="E27" s="39">
        <v>32</v>
      </c>
    </row>
  </sheetData>
  <mergeCells count="1">
    <mergeCell ref="B5:C5"/>
  </mergeCells>
  <pageMargins left="0.7" right="0.7" top="0.75" bottom="0.75" header="0.3" footer="0.3"/>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8C66-C365-49E5-8AFD-91ADB4351622}">
  <dimension ref="A1:L17"/>
  <sheetViews>
    <sheetView zoomScale="55" zoomScaleNormal="55" workbookViewId="0">
      <selection activeCell="I25" sqref="I25"/>
    </sheetView>
  </sheetViews>
  <sheetFormatPr baseColWidth="10" defaultRowHeight="14.4"/>
  <cols>
    <col min="1" max="1" width="42.44140625" bestFit="1" customWidth="1"/>
    <col min="2" max="2" width="26.109375" bestFit="1" customWidth="1"/>
    <col min="3" max="3" width="20.109375" bestFit="1" customWidth="1"/>
    <col min="4" max="4" width="17.33203125" bestFit="1" customWidth="1"/>
    <col min="5" max="5" width="37.44140625" bestFit="1" customWidth="1"/>
    <col min="6" max="6" width="6.21875" customWidth="1"/>
    <col min="7" max="7" width="6.109375" bestFit="1" customWidth="1"/>
    <col min="8" max="8" width="25.44140625" bestFit="1" customWidth="1"/>
    <col min="9" max="9" width="37.44140625" bestFit="1" customWidth="1"/>
    <col min="10" max="10" width="12.6640625" bestFit="1" customWidth="1"/>
    <col min="11" max="11" width="25.44140625" bestFit="1" customWidth="1"/>
    <col min="12" max="12" width="37.44140625" bestFit="1" customWidth="1"/>
  </cols>
  <sheetData>
    <row r="1" spans="1:12">
      <c r="A1" s="129" t="s">
        <v>576</v>
      </c>
      <c r="B1" t="s" vm="3">
        <v>550</v>
      </c>
      <c r="H1" s="129" t="s">
        <v>576</v>
      </c>
      <c r="I1" t="s" vm="3">
        <v>550</v>
      </c>
      <c r="K1" s="129" t="s">
        <v>576</v>
      </c>
      <c r="L1" t="s" vm="3">
        <v>550</v>
      </c>
    </row>
    <row r="2" spans="1:12">
      <c r="A2" s="129" t="s">
        <v>549</v>
      </c>
      <c r="B2" t="s" vm="5">
        <v>715</v>
      </c>
      <c r="H2" s="129" t="s">
        <v>549</v>
      </c>
      <c r="I2" t="s" vm="5">
        <v>715</v>
      </c>
      <c r="K2" s="129" t="s">
        <v>549</v>
      </c>
      <c r="L2" t="s" vm="5">
        <v>715</v>
      </c>
    </row>
    <row r="3" spans="1:12">
      <c r="A3" s="129" t="s">
        <v>533</v>
      </c>
      <c r="B3" t="s" vm="4">
        <v>61</v>
      </c>
      <c r="H3" s="129" t="s">
        <v>533</v>
      </c>
      <c r="I3" t="s" vm="4">
        <v>61</v>
      </c>
      <c r="K3" s="129" t="s">
        <v>533</v>
      </c>
      <c r="L3" t="s" vm="4">
        <v>61</v>
      </c>
    </row>
    <row r="5" spans="1:12">
      <c r="A5" s="129" t="s">
        <v>551</v>
      </c>
      <c r="B5" s="129" t="s">
        <v>556</v>
      </c>
      <c r="C5" s="129" t="s">
        <v>175</v>
      </c>
      <c r="D5" s="129" t="s">
        <v>577</v>
      </c>
      <c r="E5" t="s">
        <v>554</v>
      </c>
      <c r="H5" s="129" t="s">
        <v>551</v>
      </c>
      <c r="I5" t="s">
        <v>554</v>
      </c>
      <c r="K5" s="129" t="s">
        <v>551</v>
      </c>
      <c r="L5" t="s">
        <v>554</v>
      </c>
    </row>
    <row r="6" spans="1:12">
      <c r="A6" s="60" t="s">
        <v>714</v>
      </c>
      <c r="E6" s="217">
        <v>3</v>
      </c>
      <c r="H6" s="60" t="s">
        <v>687</v>
      </c>
      <c r="I6" s="217">
        <v>7</v>
      </c>
      <c r="K6" t="s">
        <v>24</v>
      </c>
      <c r="L6" s="217">
        <v>7</v>
      </c>
    </row>
    <row r="7" spans="1:12">
      <c r="A7" s="60" t="s">
        <v>39</v>
      </c>
      <c r="E7" s="217">
        <v>27</v>
      </c>
      <c r="H7" s="60" t="s">
        <v>688</v>
      </c>
      <c r="I7" s="217">
        <v>12</v>
      </c>
      <c r="K7" t="s">
        <v>552</v>
      </c>
      <c r="L7" s="217">
        <v>29</v>
      </c>
    </row>
    <row r="8" spans="1:12">
      <c r="A8" s="60" t="s">
        <v>47</v>
      </c>
      <c r="E8" s="217">
        <v>1</v>
      </c>
      <c r="H8" s="60" t="s">
        <v>716</v>
      </c>
      <c r="I8" s="217">
        <v>1</v>
      </c>
      <c r="K8" t="s">
        <v>529</v>
      </c>
      <c r="L8" s="217">
        <v>36</v>
      </c>
    </row>
    <row r="9" spans="1:12">
      <c r="A9" s="60" t="s">
        <v>281</v>
      </c>
      <c r="E9" s="217">
        <v>1</v>
      </c>
      <c r="H9" s="60" t="s">
        <v>717</v>
      </c>
      <c r="I9" s="217">
        <v>1</v>
      </c>
    </row>
    <row r="10" spans="1:12">
      <c r="A10" s="60" t="s">
        <v>38</v>
      </c>
      <c r="E10" s="217">
        <v>1</v>
      </c>
      <c r="H10" s="60" t="s">
        <v>689</v>
      </c>
      <c r="I10" s="217">
        <v>3</v>
      </c>
    </row>
    <row r="11" spans="1:12">
      <c r="A11" s="60" t="s">
        <v>213</v>
      </c>
      <c r="E11" s="217">
        <v>1</v>
      </c>
      <c r="H11" s="60" t="s">
        <v>690</v>
      </c>
      <c r="I11" s="217">
        <v>3</v>
      </c>
    </row>
    <row r="12" spans="1:12">
      <c r="A12" s="60" t="s">
        <v>50</v>
      </c>
      <c r="E12" s="217">
        <v>1</v>
      </c>
      <c r="H12" s="60" t="s">
        <v>691</v>
      </c>
      <c r="I12" s="217">
        <v>1</v>
      </c>
      <c r="K12" s="129" t="s">
        <v>576</v>
      </c>
      <c r="L12" t="s" vm="3">
        <v>550</v>
      </c>
    </row>
    <row r="13" spans="1:12">
      <c r="A13" s="60" t="s">
        <v>199</v>
      </c>
      <c r="E13" s="217">
        <v>1</v>
      </c>
      <c r="H13" s="60" t="s">
        <v>692</v>
      </c>
      <c r="I13" s="217">
        <v>2</v>
      </c>
      <c r="K13" s="129" t="s">
        <v>549</v>
      </c>
      <c r="L13" t="s" vm="1">
        <v>555</v>
      </c>
    </row>
    <row r="14" spans="1:12">
      <c r="A14" s="60" t="s">
        <v>529</v>
      </c>
      <c r="E14" s="217">
        <v>36</v>
      </c>
      <c r="H14" s="60" t="s">
        <v>529</v>
      </c>
      <c r="I14" s="217">
        <v>30</v>
      </c>
    </row>
    <row r="15" spans="1:12">
      <c r="K15" s="129" t="s">
        <v>551</v>
      </c>
      <c r="L15" t="s">
        <v>554</v>
      </c>
    </row>
    <row r="16" spans="1:12">
      <c r="K16" s="60" t="s">
        <v>579</v>
      </c>
      <c r="L16" s="217">
        <v>40</v>
      </c>
    </row>
    <row r="17" spans="11:12">
      <c r="K17" s="60" t="s">
        <v>529</v>
      </c>
      <c r="L17" s="217">
        <v>40</v>
      </c>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E7BF-EC53-436E-B6C3-5D804FD72695}">
  <sheetPr codeName="Hoja5"/>
  <dimension ref="A1:H6"/>
  <sheetViews>
    <sheetView workbookViewId="0">
      <selection activeCell="H10" sqref="H10"/>
    </sheetView>
  </sheetViews>
  <sheetFormatPr baseColWidth="10" defaultRowHeight="14.4" outlineLevelCol="1"/>
  <cols>
    <col min="1" max="1" width="8.44140625" bestFit="1" customWidth="1"/>
    <col min="2" max="2" width="13.44140625" bestFit="1" customWidth="1"/>
    <col min="3" max="3" width="13.33203125" bestFit="1" customWidth="1"/>
    <col min="4" max="4" width="29.88671875" bestFit="1" customWidth="1"/>
    <col min="5" max="5" width="13.44140625" customWidth="1" outlineLevel="1"/>
    <col min="6" max="6" width="11.44140625" customWidth="1" outlineLevel="1"/>
    <col min="7" max="7" width="12.5546875" customWidth="1" outlineLevel="1"/>
    <col min="8" max="8" width="9.44140625" customWidth="1" outlineLevel="1"/>
    <col min="9" max="76" width="21.44140625" bestFit="1" customWidth="1"/>
    <col min="77" max="77" width="11.88671875" bestFit="1" customWidth="1"/>
  </cols>
  <sheetData>
    <row r="1" spans="1:8">
      <c r="A1" s="129" t="s">
        <v>9</v>
      </c>
      <c r="B1" t="s">
        <v>96</v>
      </c>
    </row>
    <row r="3" spans="1:8">
      <c r="A3" s="163" t="s">
        <v>463</v>
      </c>
      <c r="B3" s="163" t="s">
        <v>28</v>
      </c>
      <c r="C3" s="163" t="s">
        <v>530</v>
      </c>
      <c r="D3" s="163" t="s">
        <v>5</v>
      </c>
      <c r="E3" s="164" t="s">
        <v>532</v>
      </c>
      <c r="F3" s="164" t="s">
        <v>531</v>
      </c>
      <c r="G3" s="130" t="s">
        <v>548</v>
      </c>
      <c r="H3" s="130" t="s">
        <v>533</v>
      </c>
    </row>
    <row r="4" spans="1:8">
      <c r="A4">
        <v>96</v>
      </c>
      <c r="B4" t="s">
        <v>664</v>
      </c>
      <c r="C4" s="29">
        <v>45188</v>
      </c>
      <c r="D4" t="s">
        <v>101</v>
      </c>
      <c r="E4" s="30">
        <v>45190</v>
      </c>
      <c r="F4" s="30">
        <f>IF(E4="","",WORKDAY(E4,15,Hoja1!A2:A4)+1)</f>
        <v>45212</v>
      </c>
      <c r="G4" s="162">
        <f ca="1">IFERROR(NETWORKDAYS.INTL(TODAY(),F4,1)-1,0)</f>
        <v>5</v>
      </c>
      <c r="H4" s="1" t="str">
        <f ca="1">IF(G4=0,"",IF(G4&lt;1,"Retrasado","A tiempo"))</f>
        <v>A tiempo</v>
      </c>
    </row>
    <row r="6" spans="1:8">
      <c r="E6" s="29"/>
    </row>
  </sheetData>
  <conditionalFormatting sqref="H1:H4 H6:H1048576">
    <cfRule type="cellIs" dxfId="0" priority="1" operator="equal">
      <formula>"Retrasado"</formula>
    </cfRule>
  </conditionalFormatting>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3CFF-A8E3-4147-9468-DA5B0B9B777A}">
  <dimension ref="A1:O125"/>
  <sheetViews>
    <sheetView tabSelected="1" zoomScale="85" zoomScaleNormal="85" workbookViewId="0">
      <selection sqref="A1:O2"/>
    </sheetView>
  </sheetViews>
  <sheetFormatPr baseColWidth="10" defaultColWidth="0" defaultRowHeight="14.4" zeroHeight="1"/>
  <cols>
    <col min="1" max="14" width="11.5546875" style="216" customWidth="1"/>
    <col min="15" max="15" width="4.88671875" style="216" customWidth="1"/>
    <col min="16" max="16384" width="11.5546875" style="184" hidden="1"/>
  </cols>
  <sheetData>
    <row r="1" spans="1:15" customFormat="1">
      <c r="A1" s="215" t="s">
        <v>718</v>
      </c>
      <c r="B1" s="215"/>
      <c r="C1" s="215"/>
      <c r="D1" s="215"/>
      <c r="E1" s="215"/>
      <c r="F1" s="215"/>
      <c r="G1" s="215"/>
      <c r="H1" s="215"/>
      <c r="I1" s="215"/>
      <c r="J1" s="215"/>
      <c r="K1" s="215"/>
      <c r="L1" s="215"/>
      <c r="M1" s="215"/>
      <c r="N1" s="215"/>
      <c r="O1" s="215"/>
    </row>
    <row r="2" spans="1:15" customFormat="1">
      <c r="A2" s="215"/>
      <c r="B2" s="215"/>
      <c r="C2" s="215"/>
      <c r="D2" s="215"/>
      <c r="E2" s="215"/>
      <c r="F2" s="215"/>
      <c r="G2" s="215"/>
      <c r="H2" s="215"/>
      <c r="I2" s="215"/>
      <c r="J2" s="215"/>
      <c r="K2" s="215"/>
      <c r="L2" s="215"/>
      <c r="M2" s="215"/>
      <c r="N2" s="215"/>
      <c r="O2" s="215"/>
    </row>
    <row r="3" spans="1:15" customFormat="1" ht="4.2" customHeight="1">
      <c r="A3" s="216"/>
      <c r="B3" s="216"/>
      <c r="C3" s="216"/>
      <c r="D3" s="216"/>
      <c r="E3" s="216"/>
      <c r="F3" s="216"/>
      <c r="G3" s="216"/>
      <c r="H3" s="216"/>
      <c r="I3" s="216"/>
      <c r="J3" s="216"/>
      <c r="K3" s="216"/>
      <c r="L3" s="216"/>
      <c r="M3" s="216"/>
      <c r="N3" s="216"/>
      <c r="O3" s="216"/>
    </row>
    <row r="4" spans="1:15">
      <c r="A4" s="184"/>
      <c r="B4" s="184"/>
      <c r="C4" s="184"/>
      <c r="D4" s="184"/>
      <c r="E4" s="184"/>
      <c r="F4" s="184"/>
      <c r="G4" s="184"/>
      <c r="H4" s="184"/>
      <c r="I4" s="184"/>
      <c r="J4" s="184"/>
      <c r="K4" s="184"/>
      <c r="L4" s="184"/>
      <c r="M4" s="184"/>
      <c r="N4" s="184"/>
      <c r="O4" s="184"/>
    </row>
    <row r="5" spans="1:15">
      <c r="A5" s="184"/>
      <c r="B5" s="184"/>
      <c r="C5" s="184"/>
      <c r="D5" s="184"/>
      <c r="E5" s="184"/>
      <c r="F5" s="184"/>
      <c r="G5" s="184"/>
      <c r="H5" s="184"/>
      <c r="I5" s="184"/>
      <c r="J5" s="184"/>
      <c r="K5" s="184"/>
      <c r="L5" s="184"/>
      <c r="M5" s="184"/>
      <c r="N5" s="184"/>
      <c r="O5" s="184"/>
    </row>
    <row r="6" spans="1:15">
      <c r="A6" s="184" t="s">
        <v>580</v>
      </c>
      <c r="B6" s="184"/>
      <c r="C6" s="184"/>
      <c r="D6" s="184"/>
      <c r="E6" s="184"/>
      <c r="F6" s="184"/>
      <c r="G6" s="184"/>
      <c r="H6" s="184"/>
      <c r="I6" s="184"/>
      <c r="J6" s="184"/>
      <c r="K6" s="184"/>
      <c r="L6" s="184"/>
      <c r="M6" s="184"/>
      <c r="N6" s="184"/>
      <c r="O6" s="184"/>
    </row>
    <row r="7" spans="1:15">
      <c r="A7" s="184"/>
      <c r="B7" s="184"/>
      <c r="C7" s="184"/>
      <c r="D7" s="184"/>
      <c r="E7" s="184"/>
      <c r="F7" s="184"/>
      <c r="G7" s="184"/>
      <c r="H7" s="184"/>
      <c r="I7" s="184"/>
      <c r="J7" s="184"/>
      <c r="K7" s="184"/>
      <c r="L7" s="184"/>
      <c r="M7" s="184"/>
      <c r="N7" s="184"/>
      <c r="O7" s="184"/>
    </row>
    <row r="8" spans="1:15">
      <c r="A8" s="184"/>
      <c r="B8" s="184"/>
      <c r="C8" s="184"/>
      <c r="D8" s="184"/>
      <c r="E8" s="184"/>
      <c r="F8" s="184"/>
      <c r="G8" s="184"/>
      <c r="H8" s="184"/>
      <c r="I8" s="184"/>
      <c r="J8" s="184"/>
      <c r="K8" s="184"/>
      <c r="L8" s="184"/>
      <c r="M8" s="184"/>
      <c r="N8" s="184"/>
      <c r="O8" s="184"/>
    </row>
    <row r="9" spans="1:15">
      <c r="A9" s="184"/>
      <c r="B9" s="184"/>
      <c r="C9" s="184"/>
      <c r="D9" s="184"/>
      <c r="E9" s="184"/>
      <c r="F9" s="184"/>
      <c r="G9" s="184"/>
      <c r="H9" s="184"/>
      <c r="I9" s="184"/>
      <c r="J9" s="184"/>
      <c r="K9" s="184"/>
      <c r="L9" s="184"/>
      <c r="M9" s="184"/>
      <c r="N9" s="184"/>
      <c r="O9" s="184"/>
    </row>
    <row r="10" spans="1:15">
      <c r="A10" s="184"/>
      <c r="B10" s="184"/>
      <c r="C10" s="184"/>
      <c r="D10" s="184"/>
      <c r="E10" s="184"/>
      <c r="F10" s="184"/>
      <c r="G10" s="184"/>
      <c r="H10" s="184"/>
      <c r="I10" s="184"/>
      <c r="J10" s="184"/>
      <c r="K10" s="184"/>
      <c r="L10" s="184"/>
      <c r="M10" s="184"/>
      <c r="N10" s="184"/>
      <c r="O10" s="184"/>
    </row>
    <row r="11" spans="1:15">
      <c r="A11" s="184"/>
      <c r="B11" s="184"/>
      <c r="C11" s="184"/>
      <c r="D11" s="184"/>
      <c r="E11" s="184"/>
      <c r="F11" s="184"/>
      <c r="G11" s="184"/>
      <c r="H11" s="184"/>
      <c r="I11" s="184"/>
      <c r="J11" s="184"/>
      <c r="K11" s="184"/>
      <c r="L11" s="184"/>
      <c r="M11" s="184"/>
      <c r="N11" s="184"/>
      <c r="O11" s="184"/>
    </row>
    <row r="12" spans="1:15">
      <c r="A12" s="184"/>
      <c r="B12" s="184"/>
      <c r="C12" s="184"/>
      <c r="D12" s="184"/>
      <c r="E12" s="184"/>
      <c r="F12" s="184"/>
      <c r="G12" s="184"/>
      <c r="H12" s="184"/>
      <c r="I12" s="184"/>
      <c r="J12" s="184"/>
      <c r="K12" s="184"/>
      <c r="L12" s="184"/>
      <c r="M12" s="184"/>
      <c r="N12" s="184"/>
      <c r="O12" s="184"/>
    </row>
    <row r="13" spans="1:15">
      <c r="A13" s="184"/>
      <c r="B13" s="184"/>
      <c r="C13" s="184"/>
      <c r="D13" s="184"/>
      <c r="E13" s="184"/>
      <c r="F13" s="184"/>
      <c r="G13" s="184"/>
      <c r="H13" s="184"/>
      <c r="I13" s="184"/>
      <c r="J13" s="184"/>
      <c r="K13" s="184"/>
      <c r="L13" s="184"/>
      <c r="M13" s="184"/>
      <c r="N13" s="184"/>
      <c r="O13" s="184"/>
    </row>
    <row r="14" spans="1:15">
      <c r="A14" s="184"/>
      <c r="B14" s="184"/>
      <c r="C14" s="184"/>
      <c r="D14" s="184"/>
      <c r="E14" s="184"/>
      <c r="F14" s="184"/>
      <c r="G14" s="184"/>
      <c r="H14" s="184"/>
      <c r="I14" s="184"/>
      <c r="J14" s="184"/>
      <c r="K14" s="184"/>
      <c r="L14" s="184"/>
      <c r="M14" s="184"/>
      <c r="N14" s="184"/>
      <c r="O14" s="184"/>
    </row>
    <row r="15" spans="1:15">
      <c r="A15" s="184"/>
      <c r="B15" s="184"/>
      <c r="C15" s="184"/>
      <c r="D15" s="184"/>
      <c r="E15" s="184"/>
      <c r="F15" s="184"/>
      <c r="G15" s="184"/>
      <c r="H15" s="184"/>
      <c r="I15" s="184"/>
      <c r="J15" s="184"/>
      <c r="K15" s="184"/>
      <c r="L15" s="184"/>
      <c r="M15" s="184"/>
      <c r="N15" s="184"/>
      <c r="O15" s="184"/>
    </row>
    <row r="16" spans="1:15">
      <c r="A16" s="184"/>
      <c r="B16" s="184"/>
      <c r="C16" s="184"/>
      <c r="D16" s="184"/>
      <c r="E16" s="184"/>
      <c r="F16" s="184"/>
      <c r="G16" s="184"/>
      <c r="H16" s="184"/>
      <c r="I16" s="184"/>
      <c r="J16" s="184"/>
      <c r="K16" s="184"/>
      <c r="L16" s="184"/>
      <c r="M16" s="184"/>
      <c r="N16" s="184"/>
      <c r="O16" s="184"/>
    </row>
    <row r="17" spans="12:12" s="184" customFormat="1"/>
    <row r="18" spans="12:12" s="184" customFormat="1"/>
    <row r="19" spans="12:12" s="184" customFormat="1"/>
    <row r="20" spans="12:12" s="184" customFormat="1"/>
    <row r="21" spans="12:12" s="184" customFormat="1"/>
    <row r="22" spans="12:12" s="184" customFormat="1"/>
    <row r="23" spans="12:12" s="184" customFormat="1"/>
    <row r="24" spans="12:12" s="184" customFormat="1"/>
    <row r="25" spans="12:12" s="184" customFormat="1"/>
    <row r="26" spans="12:12" s="184" customFormat="1"/>
    <row r="27" spans="12:12" s="184" customFormat="1"/>
    <row r="28" spans="12:12" s="184" customFormat="1"/>
    <row r="29" spans="12:12" s="184" customFormat="1"/>
    <row r="30" spans="12:12" s="184" customFormat="1"/>
    <row r="31" spans="12:12" s="184" customFormat="1"/>
    <row r="32" spans="12:12" s="184" customFormat="1">
      <c r="L32" s="185"/>
    </row>
    <row r="33" spans="1:15">
      <c r="A33" s="184"/>
      <c r="B33" s="184"/>
      <c r="C33" s="184"/>
      <c r="D33" s="184"/>
      <c r="E33" s="184"/>
      <c r="F33" s="184"/>
      <c r="G33" s="184"/>
      <c r="H33" s="184"/>
      <c r="I33" s="184"/>
      <c r="J33" s="184"/>
      <c r="K33" s="185"/>
      <c r="L33" s="184"/>
      <c r="M33" s="184"/>
      <c r="N33" s="184"/>
      <c r="O33" s="184"/>
    </row>
    <row r="34" spans="1:15" ht="4.2" customHeight="1"/>
    <row r="35" spans="1:15" ht="14.4" hidden="1" customHeight="1"/>
    <row r="36" spans="1:15" ht="14.4" hidden="1" customHeight="1"/>
    <row r="37" spans="1:15" ht="14.4" hidden="1" customHeight="1"/>
    <row r="38" spans="1:15" ht="14.4" hidden="1" customHeight="1"/>
    <row r="39" spans="1:15" ht="14.4" hidden="1" customHeight="1"/>
    <row r="40" spans="1:15" ht="14.4" hidden="1" customHeight="1"/>
    <row r="41" spans="1:15" ht="14.4" hidden="1" customHeight="1"/>
    <row r="42" spans="1:15" ht="14.4" hidden="1" customHeight="1"/>
    <row r="43" spans="1:15" ht="14.4" hidden="1" customHeight="1"/>
    <row r="44" spans="1:15" ht="14.4" hidden="1" customHeight="1"/>
    <row r="45" spans="1:15" ht="14.4" hidden="1" customHeight="1"/>
    <row r="46" spans="1:15" ht="14.4" hidden="1" customHeight="1"/>
    <row r="47" spans="1:15" ht="14.4" hidden="1" customHeight="1"/>
    <row r="48" spans="1:15" ht="14.4" hidden="1" customHeight="1"/>
    <row r="49" ht="14.4" hidden="1" customHeight="1"/>
    <row r="50" ht="14.4" hidden="1" customHeight="1"/>
    <row r="51" ht="14.4" hidden="1" customHeight="1"/>
    <row r="52" ht="14.4" hidden="1" customHeight="1"/>
    <row r="53" ht="14.4" hidden="1" customHeight="1"/>
    <row r="54" ht="14.4" hidden="1" customHeight="1"/>
    <row r="55" ht="14.4" hidden="1" customHeight="1"/>
    <row r="56" ht="14.4" hidden="1" customHeight="1"/>
    <row r="57" ht="14.4" hidden="1" customHeight="1"/>
    <row r="58" ht="14.4" hidden="1" customHeight="1"/>
    <row r="59" ht="14.4" hidden="1" customHeight="1"/>
    <row r="60" ht="14.4" hidden="1" customHeight="1"/>
    <row r="61" ht="14.4" hidden="1" customHeight="1"/>
    <row r="62" ht="14.4" hidden="1" customHeight="1"/>
    <row r="63" ht="14.4" hidden="1" customHeight="1"/>
    <row r="64" ht="14.4" hidden="1" customHeight="1"/>
    <row r="65" ht="14.4" hidden="1" customHeight="1"/>
    <row r="66" ht="14.4" hidden="1" customHeight="1"/>
    <row r="67" ht="14.4" hidden="1" customHeight="1"/>
    <row r="68" ht="14.4" hidden="1" customHeight="1"/>
    <row r="69" ht="14.4" hidden="1" customHeight="1"/>
    <row r="70" ht="14.4" hidden="1" customHeight="1"/>
    <row r="71" ht="14.4" hidden="1" customHeight="1"/>
    <row r="72" ht="14.4" hidden="1" customHeight="1"/>
    <row r="73" ht="14.4" hidden="1" customHeight="1"/>
    <row r="74" ht="14.4" hidden="1" customHeight="1"/>
    <row r="75" ht="14.4" hidden="1" customHeight="1"/>
    <row r="76" ht="14.4" hidden="1" customHeight="1"/>
    <row r="77" ht="14.4" hidden="1" customHeight="1"/>
    <row r="78" ht="14.4" hidden="1" customHeight="1"/>
    <row r="79" ht="14.4" hidden="1" customHeight="1"/>
    <row r="80" ht="14.4" hidden="1" customHeight="1"/>
    <row r="81" ht="14.4" hidden="1" customHeight="1"/>
    <row r="82" ht="14.4" hidden="1" customHeight="1"/>
    <row r="83" ht="14.4" hidden="1" customHeight="1"/>
    <row r="84" ht="14.4" hidden="1" customHeight="1"/>
    <row r="85" ht="14.4" hidden="1" customHeight="1"/>
    <row r="86" ht="14.4" hidden="1" customHeight="1"/>
    <row r="87" ht="14.4" hidden="1" customHeight="1"/>
    <row r="88" ht="14.4" hidden="1" customHeight="1"/>
    <row r="89" ht="14.4" hidden="1" customHeight="1"/>
    <row r="90" ht="14.4" hidden="1" customHeight="1"/>
    <row r="91" ht="14.4" hidden="1" customHeight="1"/>
    <row r="92" ht="14.4" hidden="1" customHeight="1"/>
    <row r="93" ht="14.4" hidden="1" customHeight="1"/>
    <row r="94" ht="14.4" hidden="1" customHeight="1"/>
    <row r="95" ht="14.4" hidden="1" customHeight="1"/>
    <row r="96" ht="14.4" hidden="1" customHeight="1"/>
    <row r="97" ht="14.4" hidden="1" customHeight="1"/>
    <row r="98" ht="14.4" hidden="1" customHeight="1"/>
    <row r="99" ht="14.4" hidden="1" customHeight="1"/>
    <row r="100" ht="14.4" hidden="1" customHeight="1"/>
    <row r="101" ht="14.4" hidden="1" customHeight="1"/>
    <row r="102" ht="14.4" hidden="1" customHeight="1"/>
    <row r="103" ht="14.4" hidden="1" customHeight="1"/>
    <row r="104" ht="14.4" hidden="1" customHeight="1"/>
    <row r="105" ht="14.4" hidden="1" customHeight="1"/>
    <row r="106" ht="14.4" hidden="1" customHeight="1"/>
    <row r="107" ht="14.4" hidden="1" customHeight="1"/>
    <row r="108" ht="14.4" hidden="1" customHeight="1"/>
    <row r="109" ht="14.4" hidden="1" customHeight="1"/>
    <row r="110" ht="14.4" hidden="1" customHeight="1"/>
    <row r="111" ht="14.4" hidden="1" customHeight="1"/>
    <row r="112" ht="14.4" hidden="1" customHeight="1"/>
    <row r="113" ht="14.4" hidden="1" customHeight="1"/>
    <row r="114" ht="14.4" hidden="1" customHeight="1"/>
    <row r="115" ht="14.4" hidden="1" customHeight="1"/>
    <row r="116" ht="14.4" hidden="1" customHeight="1"/>
    <row r="117" ht="14.4" hidden="1" customHeight="1"/>
    <row r="118" ht="14.4" hidden="1" customHeight="1"/>
    <row r="119" ht="14.4" hidden="1" customHeight="1"/>
    <row r="120" ht="14.4" hidden="1" customHeight="1"/>
    <row r="121" ht="14.4" hidden="1" customHeight="1"/>
    <row r="122" ht="14.4" hidden="1" customHeight="1"/>
    <row r="123" ht="14.4" hidden="1" customHeight="1"/>
    <row r="124" ht="14.4" hidden="1" customHeight="1"/>
    <row r="125" ht="14.4" hidden="1" customHeight="1"/>
  </sheetData>
  <sheetProtection algorithmName="SHA-512" hashValue="GAFyn4K9qs8BU7nHuvO+dh1ph2RMim7biQMr9w/hFj3JHWXv+OcRGVddV9x11rFN6EfduASJuoV8UvbEOEQO6Q==" saltValue="/jBTQ1MTGQlUtknlmkIoHw==" spinCount="100000" sheet="1" scenarios="1" selectLockedCells="1" selectUnlockedCells="1"/>
  <mergeCells count="3">
    <mergeCell ref="A1:O2"/>
    <mergeCell ref="A3:O3"/>
    <mergeCell ref="A34:O1048576"/>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I41"/>
  <sheetViews>
    <sheetView workbookViewId="0">
      <selection activeCell="I4" sqref="I4:I9"/>
    </sheetView>
  </sheetViews>
  <sheetFormatPr baseColWidth="10" defaultRowHeight="14.4"/>
  <cols>
    <col min="5" max="5" width="16.33203125" customWidth="1"/>
  </cols>
  <sheetData>
    <row r="1" spans="1:9">
      <c r="A1" s="29">
        <v>44197</v>
      </c>
    </row>
    <row r="2" spans="1:9">
      <c r="A2" s="29">
        <v>44200</v>
      </c>
    </row>
    <row r="3" spans="1:9">
      <c r="A3" s="29">
        <v>44217</v>
      </c>
    </row>
    <row r="4" spans="1:9">
      <c r="A4" s="29">
        <v>44221</v>
      </c>
      <c r="E4" t="s">
        <v>22</v>
      </c>
      <c r="G4" t="s">
        <v>102</v>
      </c>
      <c r="I4" t="s">
        <v>175</v>
      </c>
    </row>
    <row r="5" spans="1:9">
      <c r="A5" s="29">
        <v>44254</v>
      </c>
      <c r="E5" s="7" t="s">
        <v>23</v>
      </c>
      <c r="G5" t="s">
        <v>61</v>
      </c>
      <c r="I5" t="s">
        <v>176</v>
      </c>
    </row>
    <row r="6" spans="1:9">
      <c r="A6" s="29">
        <v>44288</v>
      </c>
      <c r="E6" s="7" t="s">
        <v>25</v>
      </c>
      <c r="G6" t="s">
        <v>103</v>
      </c>
      <c r="I6" t="s">
        <v>174</v>
      </c>
    </row>
    <row r="7" spans="1:9">
      <c r="A7" s="29">
        <v>44317</v>
      </c>
      <c r="E7" s="7" t="s">
        <v>24</v>
      </c>
      <c r="G7" t="s">
        <v>96</v>
      </c>
      <c r="I7" t="s">
        <v>177</v>
      </c>
    </row>
    <row r="8" spans="1:9">
      <c r="A8" s="29">
        <v>44350</v>
      </c>
      <c r="E8" s="7" t="s">
        <v>26</v>
      </c>
      <c r="G8" t="s">
        <v>104</v>
      </c>
      <c r="I8" t="s">
        <v>179</v>
      </c>
    </row>
    <row r="9" spans="1:9">
      <c r="A9" s="29">
        <v>44424</v>
      </c>
      <c r="E9" s="7" t="s">
        <v>27</v>
      </c>
      <c r="I9" t="s">
        <v>178</v>
      </c>
    </row>
    <row r="10" spans="1:9">
      <c r="A10" s="29">
        <v>44463</v>
      </c>
    </row>
    <row r="11" spans="1:9">
      <c r="A11" s="29">
        <v>44506</v>
      </c>
    </row>
    <row r="12" spans="1:9">
      <c r="A12" s="29">
        <v>44555</v>
      </c>
    </row>
    <row r="13" spans="1:9">
      <c r="A13" s="29">
        <v>44562</v>
      </c>
    </row>
    <row r="14" spans="1:9">
      <c r="A14" s="29">
        <v>44571</v>
      </c>
    </row>
    <row r="15" spans="1:9">
      <c r="A15" s="29">
        <v>44582</v>
      </c>
    </row>
    <row r="16" spans="1:9">
      <c r="A16" s="29">
        <v>44585</v>
      </c>
    </row>
    <row r="17" spans="1:1">
      <c r="A17" s="29">
        <v>44619</v>
      </c>
    </row>
    <row r="18" spans="1:1">
      <c r="A18" s="29">
        <v>44665</v>
      </c>
    </row>
    <row r="19" spans="1:1">
      <c r="A19" s="29">
        <v>44666</v>
      </c>
    </row>
    <row r="20" spans="1:1">
      <c r="A20" s="29">
        <v>44683</v>
      </c>
    </row>
    <row r="21" spans="1:1">
      <c r="A21" s="29">
        <v>44728</v>
      </c>
    </row>
    <row r="22" spans="1:1">
      <c r="A22" s="29">
        <v>44789</v>
      </c>
    </row>
    <row r="23" spans="1:1">
      <c r="A23" s="29">
        <v>44828</v>
      </c>
    </row>
    <row r="24" spans="1:1">
      <c r="A24" s="29">
        <v>44871</v>
      </c>
    </row>
    <row r="25" spans="1:1">
      <c r="A25" s="29">
        <v>44920</v>
      </c>
    </row>
    <row r="26" spans="1:1">
      <c r="A26" s="55">
        <v>44823</v>
      </c>
    </row>
    <row r="27" spans="1:1">
      <c r="A27" s="55">
        <v>44928</v>
      </c>
    </row>
    <row r="28" spans="1:1">
      <c r="A28" s="29">
        <v>44935</v>
      </c>
    </row>
    <row r="29" spans="1:1">
      <c r="A29" s="29">
        <v>44947</v>
      </c>
    </row>
    <row r="30" spans="1:1">
      <c r="A30" s="29">
        <v>44956</v>
      </c>
    </row>
    <row r="31" spans="1:1">
      <c r="A31" s="29">
        <v>44984</v>
      </c>
    </row>
    <row r="32" spans="1:1">
      <c r="A32" s="29">
        <v>45022</v>
      </c>
    </row>
    <row r="33" spans="1:1">
      <c r="A33" s="29">
        <v>45023</v>
      </c>
    </row>
    <row r="34" spans="1:1">
      <c r="A34" s="29">
        <v>45047</v>
      </c>
    </row>
    <row r="35" spans="1:1">
      <c r="A35" s="29">
        <v>45085</v>
      </c>
    </row>
    <row r="36" spans="1:1">
      <c r="A36" s="29">
        <v>45154</v>
      </c>
    </row>
    <row r="37" spans="1:1">
      <c r="A37" s="29">
        <v>45193</v>
      </c>
    </row>
    <row r="38" spans="1:1">
      <c r="A38" s="29">
        <v>45236</v>
      </c>
    </row>
    <row r="39" spans="1:1">
      <c r="A39" s="29">
        <v>45284</v>
      </c>
    </row>
    <row r="40" spans="1:1">
      <c r="A40" s="29">
        <v>45285</v>
      </c>
    </row>
    <row r="41" spans="1:1">
      <c r="A41" s="29">
        <v>45291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Seguimiento (Viejo) </vt:lpstr>
      <vt:lpstr>Acciones de Mejoras (Viejo)</vt:lpstr>
      <vt:lpstr>Hoja1</vt:lpstr>
      <vt:lpstr>Seguimiento</vt:lpstr>
      <vt:lpstr>Acciones de Mejoras</vt:lpstr>
      <vt:lpstr>Resumen Trimestral</vt:lpstr>
      <vt:lpstr>Reporte Interno</vt:lpstr>
      <vt:lpstr>Reporte dinámico</vt:lpstr>
      <vt:lpstr>Casos Abiertos</vt:lpstr>
      <vt:lpstr>Tablero Dinámico</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Isaura Baez Melendez</dc:creator>
  <cp:lastModifiedBy>Perla Carolina Montero De Leon</cp:lastModifiedBy>
  <cp:lastPrinted>2023-10-02T17:49:55Z</cp:lastPrinted>
  <dcterms:created xsi:type="dcterms:W3CDTF">2022-07-14T17:06:24Z</dcterms:created>
  <dcterms:modified xsi:type="dcterms:W3CDTF">2023-10-06T13:59:05Z</dcterms:modified>
</cp:coreProperties>
</file>